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pbiz\Documents\auto_fm\"/>
    </mc:Choice>
  </mc:AlternateContent>
  <bookViews>
    <workbookView xWindow="28680" yWindow="-120" windowWidth="29040" windowHeight="15720" tabRatio="949" firstSheet="47" activeTab="52"/>
  </bookViews>
  <sheets>
    <sheet name="ECSYSTEM" sheetId="126" state="veryHidden" r:id="rId1"/>
    <sheet name="표지" sheetId="244" r:id="rId2"/>
    <sheet name="설명서" sheetId="243" r:id="rId3"/>
    <sheet name="36개월총괄" sheetId="241" r:id="rId4"/>
    <sheet name="갑지" sheetId="240" r:id="rId5"/>
    <sheet name="2023년계약원가 비교" sheetId="246" state="hidden" r:id="rId6"/>
    <sheet name="간지#" sheetId="101" r:id="rId7"/>
    <sheet name="차수별용역비" sheetId="239" r:id="rId8"/>
    <sheet name="용역원가집계" sheetId="109" r:id="rId9"/>
    <sheet name="용역원가(24년)" sheetId="113" r:id="rId10"/>
    <sheet name="용역원가(25년) " sheetId="258" r:id="rId11"/>
    <sheet name="용역원가(26년)" sheetId="259" r:id="rId12"/>
    <sheet name="인건비집계" sheetId="7" r:id="rId13"/>
    <sheet name="제수당집계" sheetId="175" r:id="rId14"/>
    <sheet name="단위당인건비" sheetId="1" r:id="rId15"/>
    <sheet name="엔지니어노임" sheetId="179" r:id="rId16"/>
    <sheet name="월기본급" sheetId="73" r:id="rId17"/>
    <sheet name="기본급추정" sheetId="204" r:id="rId18"/>
    <sheet name="인건비산정기준" sheetId="91" r:id="rId19"/>
    <sheet name="일급분개" sheetId="248" r:id="rId20"/>
    <sheet name="보험료산정기준" sheetId="92" r:id="rId21"/>
    <sheet name="산재비율" sheetId="247" r:id="rId22"/>
    <sheet name="투입인원" sheetId="72" r:id="rId23"/>
    <sheet name="근무일수" sheetId="121" r:id="rId24"/>
    <sheet name="2024년 달력 " sheetId="256" r:id="rId25"/>
    <sheet name="가동시간" sheetId="235" r:id="rId26"/>
    <sheet name="기간현황" sheetId="236" r:id="rId27"/>
    <sheet name="경비집계" sheetId="66" r:id="rId28"/>
    <sheet name="고정)인적보험료집계" sheetId="158" r:id="rId29"/>
    <sheet name="고정)인적보험료" sheetId="62" r:id="rId30"/>
    <sheet name="고정)복리후생비집계" sheetId="111" r:id="rId31"/>
    <sheet name="고정)피복비" sheetId="141" r:id="rId32"/>
    <sheet name="고정)식대" sheetId="79" r:id="rId33"/>
    <sheet name="고정)건강검진비" sheetId="116" r:id="rId34"/>
    <sheet name="고정)의약품" sheetId="205" r:id="rId35"/>
    <sheet name="고정)안전관리비" sheetId="184" r:id="rId36"/>
    <sheet name="고정)교육훈련비" sheetId="163" r:id="rId37"/>
    <sheet name="고정)소모품비" sheetId="210" r:id="rId38"/>
    <sheet name="고정)출장여비" sheetId="209" r:id="rId39"/>
    <sheet name="운임" sheetId="229" r:id="rId40"/>
    <sheet name="고정)통신비" sheetId="208" r:id="rId41"/>
    <sheet name="변동)소모자재비" sheetId="207" r:id="rId42"/>
    <sheet name="변동)수선유지비" sheetId="206" r:id="rId43"/>
    <sheet name="변동)측정검사수수료" sheetId="217" r:id="rId44"/>
    <sheet name="변동)안전점검대행비" sheetId="216" r:id="rId45"/>
    <sheet name="변동)차량유지비" sheetId="215" r:id="rId46"/>
    <sheet name="변동)보안관리비" sheetId="214" r:id="rId47"/>
    <sheet name="변동)수집운반비" sheetId="249" r:id="rId48"/>
    <sheet name="수집운반_세금과공과 " sheetId="254" r:id="rId49"/>
    <sheet name="기타경비" sheetId="255" r:id="rId50"/>
    <sheet name="수리수선비" sheetId="250" r:id="rId51"/>
    <sheet name="감가상각비" sheetId="251" r:id="rId52"/>
    <sheet name="변동-대)전력비" sheetId="213" r:id="rId53"/>
    <sheet name="전력사용량" sheetId="224" r:id="rId54"/>
    <sheet name="변동-대)수도광열비" sheetId="218" r:id="rId55"/>
    <sheet name="변동-대)시설물보험료" sheetId="212" r:id="rId56"/>
    <sheet name="일반관리비" sheetId="83" r:id="rId57"/>
    <sheet name="일반관리비율" sheetId="46" r:id="rId58"/>
    <sheet name="일반-시행규칙" sheetId="146" r:id="rId59"/>
    <sheet name="이윤" sheetId="84" r:id="rId60"/>
    <sheet name="이윤율" sheetId="48" r:id="rId61"/>
    <sheet name="기업분석" sheetId="49" r:id="rId62"/>
  </sheets>
  <externalReferences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___B140007" localSheetId="24">[1]건축!#REF!</definedName>
    <definedName name="___B140007" localSheetId="49">[1]건축!#REF!</definedName>
    <definedName name="___B140007" localSheetId="48">[1]건축!#REF!</definedName>
    <definedName name="___B140007">#REF!</definedName>
    <definedName name="__123Graph_A" localSheetId="24" hidden="1">[2]DRUM!#REF!</definedName>
    <definedName name="__123Graph_A" hidden="1">[2]DRUM!#REF!</definedName>
    <definedName name="__123Graph_APOWERSAV" localSheetId="24" hidden="1">#REF!</definedName>
    <definedName name="__123Graph_APOWERSAV" hidden="1">#REF!</definedName>
    <definedName name="__123Graph_B" localSheetId="24" hidden="1">[2]DRUM!#REF!</definedName>
    <definedName name="__123Graph_B" hidden="1">[2]DRUM!#REF!</definedName>
    <definedName name="__123Graph_BPOWERSAV" localSheetId="24" hidden="1">#REF!</definedName>
    <definedName name="__123Graph_BPOWERSAV" hidden="1">#REF!</definedName>
    <definedName name="__123Graph_C" localSheetId="24" hidden="1">[2]DRUM!#REF!</definedName>
    <definedName name="__123Graph_C" hidden="1">[2]DRUM!#REF!</definedName>
    <definedName name="__123Graph_D" localSheetId="24" hidden="1">[2]DRUM!#REF!</definedName>
    <definedName name="__123Graph_D" hidden="1">[2]DRUM!#REF!</definedName>
    <definedName name="__123Graph_X" localSheetId="24" hidden="1">[2]DRUM!#REF!</definedName>
    <definedName name="__123Graph_X" hidden="1">[2]DRUM!#REF!</definedName>
    <definedName name="__123Graph_XPOWERSAV" localSheetId="24" hidden="1">#REF!</definedName>
    <definedName name="__123Graph_XPOWERSAV" hidden="1">#REF!</definedName>
    <definedName name="__B140007" localSheetId="24">[1]건축!#REF!</definedName>
    <definedName name="__B140007" localSheetId="49">[1]건축!#REF!</definedName>
    <definedName name="__B140007" localSheetId="48">[1]건축!#REF!</definedName>
    <definedName name="__B140007">#REF!</definedName>
    <definedName name="__KEY2" localSheetId="24" hidden="1">#REF!</definedName>
    <definedName name="__KEY2" hidden="1">#REF!</definedName>
    <definedName name="_1">#N/A</definedName>
    <definedName name="_1__123Graph_ATOTAL_PQ" localSheetId="24" hidden="1">#REF!</definedName>
    <definedName name="_1__123Graph_ATOTAL_PQ" hidden="1">#REF!</definedName>
    <definedName name="_1_0_S" localSheetId="24" hidden="1">'[3]6PILE  (돌출)'!#REF!</definedName>
    <definedName name="_1_0_S" hidden="1">'[3]6PILE  (돌출)'!#REF!</definedName>
    <definedName name="_10__123Graph_DTOTAL_PQ" localSheetId="24" hidden="1">#REF!</definedName>
    <definedName name="_10__123Graph_DTOTAL_PQ" hidden="1">#REF!</definedName>
    <definedName name="_11__123Graph_XTOTAL_PQ" localSheetId="24" hidden="1">#REF!</definedName>
    <definedName name="_11__123Graph_XTOTAL_PQ" hidden="1">#REF!</definedName>
    <definedName name="_12_0_S" localSheetId="24" hidden="1">'[3]6PILE  (돌출)'!#REF!</definedName>
    <definedName name="_12_0_S" hidden="1">'[3]6PILE  (돌출)'!#REF!</definedName>
    <definedName name="_1S" localSheetId="24" hidden="1">'[3]6PILE  (돌출)'!#REF!</definedName>
    <definedName name="_1S" hidden="1">'[3]6PILE  (돌출)'!#REF!</definedName>
    <definedName name="_2">#N/A</definedName>
    <definedName name="_26_0_S" localSheetId="24" hidden="1">'[3]6PILE  (돌출)'!#REF!</definedName>
    <definedName name="_26_0_S" hidden="1">'[3]6PILE  (돌출)'!#REF!</definedName>
    <definedName name="_27_0_S" localSheetId="24" hidden="1">'[3]6PILE  (돌출)'!#REF!</definedName>
    <definedName name="_27_0_S" hidden="1">'[3]6PILE  (돌출)'!#REF!</definedName>
    <definedName name="_3" localSheetId="5">#REF!</definedName>
    <definedName name="_3" localSheetId="24">#REF!</definedName>
    <definedName name="_3" localSheetId="49">#REF!</definedName>
    <definedName name="_3" localSheetId="48">#REF!</definedName>
    <definedName name="_3" localSheetId="7">#REF!</definedName>
    <definedName name="_3">#REF!</definedName>
    <definedName name="_4__123Graph_BTOTAL_PQ" localSheetId="24" hidden="1">#REF!</definedName>
    <definedName name="_4__123Graph_BTOTAL_PQ" hidden="1">#REF!</definedName>
    <definedName name="_4S" localSheetId="24" hidden="1">'[3]6PILE  (돌출)'!#REF!</definedName>
    <definedName name="_4S" hidden="1">'[3]6PILE  (돌출)'!#REF!</definedName>
    <definedName name="_7__123Graph_CTOTAL_PQ" localSheetId="24" hidden="1">#REF!</definedName>
    <definedName name="_7__123Graph_CTOTAL_PQ" hidden="1">#REF!</definedName>
    <definedName name="_B140007" localSheetId="24">[1]건축!#REF!</definedName>
    <definedName name="_B140007" localSheetId="49">[1]건축!#REF!</definedName>
    <definedName name="_B140007" localSheetId="48">[1]건축!#REF!</definedName>
    <definedName name="_B140007" localSheetId="7">#REF!</definedName>
    <definedName name="_B140007">#REF!</definedName>
    <definedName name="_Builtin13" localSheetId="24" hidden="1">#REF!</definedName>
    <definedName name="_Builtin13" hidden="1">#REF!</definedName>
    <definedName name="_Dist_Bin" localSheetId="24" hidden="1">#REF!</definedName>
    <definedName name="_Dist_Bin" hidden="1">#REF!</definedName>
    <definedName name="_Dist_Values" localSheetId="24" hidden="1">#REF!</definedName>
    <definedName name="_Dist_Values" hidden="1">#REF!</definedName>
    <definedName name="_Fill" localSheetId="5" hidden="1">#REF!</definedName>
    <definedName name="_Fill" localSheetId="24" hidden="1">#REF!</definedName>
    <definedName name="_Fill" localSheetId="49" hidden="1">#REF!</definedName>
    <definedName name="_Fill" localSheetId="48" hidden="1">#REF!</definedName>
    <definedName name="_Fill" localSheetId="7" hidden="1">#REF!</definedName>
    <definedName name="_Fill" hidden="1">#REF!</definedName>
    <definedName name="_fILL1" localSheetId="24" hidden="1">#REF!</definedName>
    <definedName name="_fILL1" hidden="1">#REF!</definedName>
    <definedName name="_Fill2" localSheetId="24" hidden="1">#REF!</definedName>
    <definedName name="_Fill2" hidden="1">#REF!</definedName>
    <definedName name="_xlnm._FilterDatabase" localSheetId="24" hidden="1">#REF!</definedName>
    <definedName name="_xlnm._FilterDatabase" localSheetId="14" hidden="1">단위당인건비!$A$1:$R$311</definedName>
    <definedName name="_xlnm._FilterDatabase" hidden="1">#REF!</definedName>
    <definedName name="_Key1" localSheetId="5" hidden="1">#REF!</definedName>
    <definedName name="_Key1" localSheetId="24" hidden="1">#REF!</definedName>
    <definedName name="_Key1" localSheetId="49" hidden="1">#REF!</definedName>
    <definedName name="_Key1" localSheetId="48" hidden="1">#REF!</definedName>
    <definedName name="_Key1" localSheetId="7" hidden="1">#REF!</definedName>
    <definedName name="_Key1" hidden="1">#REF!</definedName>
    <definedName name="_Key2" localSheetId="5" hidden="1">#REF!</definedName>
    <definedName name="_Key2" localSheetId="24" hidden="1">#REF!</definedName>
    <definedName name="_Key2" localSheetId="49" hidden="1">#REF!</definedName>
    <definedName name="_Key2" localSheetId="48" hidden="1">#REF!</definedName>
    <definedName name="_Key2" localSheetId="7" hidden="1">#REF!</definedName>
    <definedName name="_Key2" hidden="1">#REF!</definedName>
    <definedName name="_Order1" hidden="1">255</definedName>
    <definedName name="_Order2" hidden="1">255</definedName>
    <definedName name="_Parse_Out" localSheetId="24" hidden="1">[4]갑지!#REF!</definedName>
    <definedName name="_Parse_Out" hidden="1">[4]갑지!#REF!</definedName>
    <definedName name="_Sort" localSheetId="5" hidden="1">#REF!</definedName>
    <definedName name="_Sort" localSheetId="24" hidden="1">#REF!</definedName>
    <definedName name="_Sort" localSheetId="49" hidden="1">#REF!</definedName>
    <definedName name="_Sort" localSheetId="48" hidden="1">#REF!</definedName>
    <definedName name="_Sort" localSheetId="7" hidden="1">#REF!</definedName>
    <definedName name="_Sort" hidden="1">#REF!</definedName>
    <definedName name="_Table1_In1" localSheetId="24" hidden="1">#REF!</definedName>
    <definedName name="_Table1_In1" hidden="1">#REF!</definedName>
    <definedName name="_Table1_Out" localSheetId="24" hidden="1">#REF!</definedName>
    <definedName name="_Table1_Out" hidden="1">#REF!</definedName>
    <definedName name="\a">#N/A</definedName>
    <definedName name="\z">#N/A</definedName>
    <definedName name="A">#N/A</definedName>
    <definedName name="AA" localSheetId="5">#REF!</definedName>
    <definedName name="AA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A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A" localSheetId="4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A" localSheetId="7">#REF!</definedName>
    <definedName name="AA">#REF!</definedName>
    <definedName name="AAAA" localSheetId="24" hidden="1">[5]입찰안!#REF!</definedName>
    <definedName name="AAAA" hidden="1">[5]입찰안!#REF!</definedName>
    <definedName name="aaas" localSheetId="24" hidden="1">{#N/A,#N/A,FALSE,"전력간선"}</definedName>
    <definedName name="aaas" localSheetId="49" hidden="1">{#N/A,#N/A,FALSE,"전력간선"}</definedName>
    <definedName name="aaas" hidden="1">{#N/A,#N/A,FALSE,"전력간선"}</definedName>
    <definedName name="abc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d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dd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JH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ffhjhklllyt" localSheetId="24" hidden="1">{#N/A,#N/A,FALSE,"현장 NCR 분석";#N/A,#N/A,FALSE,"현장품질감사";#N/A,#N/A,FALSE,"현장품질감사"}</definedName>
    <definedName name="asdffhjhklllyt" localSheetId="49" hidden="1">{#N/A,#N/A,FALSE,"현장 NCR 분석";#N/A,#N/A,FALSE,"현장품질감사";#N/A,#N/A,FALSE,"현장품질감사"}</definedName>
    <definedName name="asdffhjhklllyt" hidden="1">{#N/A,#N/A,FALSE,"현장 NCR 분석";#N/A,#N/A,FALSE,"현장품질감사";#N/A,#N/A,FALSE,"현장품질감사"}</definedName>
    <definedName name="AX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XD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X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B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B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F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NFD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NFD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NF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OOK2" localSheetId="24" hidden="1">{#N/A,#N/A,TRUE,"손익보고"}</definedName>
    <definedName name="BOOK2" localSheetId="49" hidden="1">{#N/A,#N/A,TRUE,"손익보고"}</definedName>
    <definedName name="BOOK2" hidden="1">{#N/A,#N/A,TRUE,"손익보고"}</definedName>
    <definedName name="chl" localSheetId="24" hidden="1">{#N/A,#N/A,TRUE,"토적및재료집계";#N/A,#N/A,TRUE,"토적및재료집계";#N/A,#N/A,TRUE,"단위량"}</definedName>
    <definedName name="chl" localSheetId="49" hidden="1">{#N/A,#N/A,TRUE,"토적및재료집계";#N/A,#N/A,TRUE,"토적및재료집계";#N/A,#N/A,TRUE,"단위량"}</definedName>
    <definedName name="chl" hidden="1">{#N/A,#N/A,TRUE,"토적및재료집계";#N/A,#N/A,TRUE,"토적및재료집계";#N/A,#N/A,TRUE,"단위량"}</definedName>
    <definedName name="CODE" localSheetId="5">#REF!</definedName>
    <definedName name="CODE" localSheetId="24">#REF!</definedName>
    <definedName name="CODE" localSheetId="49">#REF!</definedName>
    <definedName name="CODE" localSheetId="48">#REF!</definedName>
    <definedName name="CODE">#REF!</definedName>
    <definedName name="D" localSheetId="24" hidden="1">{#N/A,#N/A,TRUE,"토적및재료집계";#N/A,#N/A,TRUE,"토적및재료집계";#N/A,#N/A,TRUE,"단위량"}</definedName>
    <definedName name="D" localSheetId="49" hidden="1">{#N/A,#N/A,TRUE,"토적및재료집계";#N/A,#N/A,TRUE,"토적및재료집계";#N/A,#N/A,TRUE,"단위량"}</definedName>
    <definedName name="D" hidden="1">{#N/A,#N/A,TRUE,"토적및재료집계";#N/A,#N/A,TRUE,"토적및재료집계";#N/A,#N/A,TRUE,"단위량"}</definedName>
    <definedName name="DATA" localSheetId="5">#REF!</definedName>
    <definedName name="DATA" localSheetId="24">#REF!</definedName>
    <definedName name="DATA" localSheetId="49">#REF!</definedName>
    <definedName name="DATA" localSheetId="48">#REF!</definedName>
    <definedName name="DATA">#REF!</definedName>
    <definedName name="_xlnm.Database" localSheetId="5">#REF!</definedName>
    <definedName name="_xlnm.Database" localSheetId="24">#REF!</definedName>
    <definedName name="_xlnm.Database" localSheetId="49">#REF!</definedName>
    <definedName name="_xlnm.Database" localSheetId="48">#REF!</definedName>
    <definedName name="_xlnm.Database">#REF!</definedName>
    <definedName name="ddddd" localSheetId="24" hidden="1">#REF!</definedName>
    <definedName name="ddddd" hidden="1">#REF!</definedName>
    <definedName name="ddddsasfgh" localSheetId="24" hidden="1">{#N/A,#N/A,FALSE,"현장 NCR 분석";#N/A,#N/A,FALSE,"현장품질감사";#N/A,#N/A,FALSE,"현장품질감사"}</definedName>
    <definedName name="ddddsasfgh" localSheetId="49" hidden="1">{#N/A,#N/A,FALSE,"현장 NCR 분석";#N/A,#N/A,FALSE,"현장품질감사";#N/A,#N/A,FALSE,"현장품질감사"}</definedName>
    <definedName name="ddddsasfgh" hidden="1">{#N/A,#N/A,FALSE,"현장 NCR 분석";#N/A,#N/A,FALSE,"현장품질감사";#N/A,#N/A,FALSE,"현장품질감사"}</definedName>
    <definedName name="DDFR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EMO" localSheetId="5">#REF!</definedName>
    <definedName name="DEMO" localSheetId="24">#REF!</definedName>
    <definedName name="DEMO" localSheetId="49">#REF!</definedName>
    <definedName name="DEMO" localSheetId="48">#REF!</definedName>
    <definedName name="DEMO" localSheetId="7">#REF!</definedName>
    <definedName name="DEMO">#REF!</definedName>
    <definedName name="dfg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W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we" localSheetId="24" hidden="1">#REF!</definedName>
    <definedName name="dfwe" hidden="1">#REF!</definedName>
    <definedName name="dk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lawlemd" localSheetId="24" hidden="1">#REF!</definedName>
    <definedName name="dlawlemd" hidden="1">#REF!</definedName>
    <definedName name="dn" localSheetId="24" hidden="1">{#N/A,#N/A,FALSE,"혼합골재"}</definedName>
    <definedName name="dn" localSheetId="49" hidden="1">{#N/A,#N/A,FALSE,"혼합골재"}</definedName>
    <definedName name="dn" hidden="1">{#N/A,#N/A,FALSE,"혼합골재"}</definedName>
    <definedName name="DRFE" localSheetId="24" hidden="1">{#N/A,#N/A,FALSE,"현장 NCR 분석";#N/A,#N/A,FALSE,"현장품질감사";#N/A,#N/A,FALSE,"현장품질감사"}</definedName>
    <definedName name="DRFE" localSheetId="49" hidden="1">{#N/A,#N/A,FALSE,"현장 NCR 분석";#N/A,#N/A,FALSE,"현장품질감사";#N/A,#N/A,FALSE,"현장품질감사"}</definedName>
    <definedName name="DRFE" hidden="1">{#N/A,#N/A,FALSE,"현장 NCR 분석";#N/A,#N/A,FALSE,"현장품질감사";#N/A,#N/A,FALSE,"현장품질감사"}</definedName>
    <definedName name="dsdsd" localSheetId="24" hidden="1">{#N/A,#N/A,FALSE,"운반시간"}</definedName>
    <definedName name="dsdsd" localSheetId="49" hidden="1">{#N/A,#N/A,FALSE,"운반시간"}</definedName>
    <definedName name="dsdsd" hidden="1">{#N/A,#N/A,FALSE,"운반시간"}</definedName>
    <definedName name="edssqq" localSheetId="24" hidden="1">{#N/A,#N/A,FALSE,"혼합골재"}</definedName>
    <definedName name="edssqq" localSheetId="49" hidden="1">{#N/A,#N/A,FALSE,"혼합골재"}</definedName>
    <definedName name="edssqq" hidden="1">{#N/A,#N/A,FALSE,"혼합골재"}</definedName>
    <definedName name="ee" localSheetId="24" hidden="1">{#N/A,#N/A,FALSE,"단가표지"}</definedName>
    <definedName name="ee" localSheetId="49" hidden="1">{#N/A,#N/A,FALSE,"단가표지"}</definedName>
    <definedName name="ee" hidden="1">{#N/A,#N/A,FALSE,"단가표지"}</definedName>
    <definedName name="EE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24" hidden="1">{#N/A,#N/A,FALSE,"운반시간"}</definedName>
    <definedName name="eee.송운" localSheetId="49" hidden="1">{#N/A,#N/A,FALSE,"운반시간"}</definedName>
    <definedName name="eee.송운" hidden="1">{#N/A,#N/A,FALSE,"운반시간"}</definedName>
    <definedName name="ENJA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er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er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EW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EW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RE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TGFVBNJ" localSheetId="24" hidden="1">{#N/A,#N/A,FALSE,"현장 NCR 분석";#N/A,#N/A,FALSE,"현장품질감사";#N/A,#N/A,FALSE,"현장품질감사"}</definedName>
    <definedName name="ETGFVBNJ" localSheetId="49" hidden="1">{#N/A,#N/A,FALSE,"현장 NCR 분석";#N/A,#N/A,FALSE,"현장품질감사";#N/A,#N/A,FALSE,"현장품질감사"}</definedName>
    <definedName name="ETGFVBNJ" hidden="1">{#N/A,#N/A,FALSE,"현장 NCR 분석";#N/A,#N/A,FALSE,"현장품질감사";#N/A,#N/A,FALSE,"현장품질감사"}</definedName>
    <definedName name="ewf" localSheetId="24" hidden="1">{#N/A,#N/A,FALSE,"전열산출서"}</definedName>
    <definedName name="ewf" localSheetId="49" hidden="1">{#N/A,#N/A,FALSE,"전열산출서"}</definedName>
    <definedName name="ewf" hidden="1">{#N/A,#N/A,FALSE,"전열산출서"}</definedName>
    <definedName name="f" localSheetId="24" hidden="1">#REF!</definedName>
    <definedName name="f" hidden="1">#REF!</definedName>
    <definedName name="FFF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ff" localSheetId="24" hidden="1">{#N/A,#N/A,FALSE,"현장 NCR 분석";#N/A,#N/A,FALSE,"현장품질감사";#N/A,#N/A,FALSE,"현장품질감사"}</definedName>
    <definedName name="ffffffffff" localSheetId="49" hidden="1">{#N/A,#N/A,FALSE,"현장 NCR 분석";#N/A,#N/A,FALSE,"현장품질감사";#N/A,#N/A,FALSE,"현장품질감사"}</definedName>
    <definedName name="ffffffffff" hidden="1">{#N/A,#N/A,FALSE,"현장 NCR 분석";#N/A,#N/A,FALSE,"현장품질감사";#N/A,#N/A,FALSE,"현장품질감사"}</definedName>
    <definedName name="fgf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gf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g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HFH" hidden="1">[6]수량산출!$A$1:$A$8561</definedName>
    <definedName name="FHFK" localSheetId="24" hidden="1">[6]수량산출!#REF!</definedName>
    <definedName name="FHFK" hidden="1">[6]수량산출!#REF!</definedName>
    <definedName name="fhgdretyjiklp" localSheetId="24" hidden="1">{#N/A,#N/A,FALSE,"현장 NCR 분석";#N/A,#N/A,FALSE,"현장품질감사";#N/A,#N/A,FALSE,"현장품질감사"}</definedName>
    <definedName name="fhgdretyjiklp" localSheetId="49" hidden="1">{#N/A,#N/A,FALSE,"현장 NCR 분석";#N/A,#N/A,FALSE,"현장품질감사";#N/A,#N/A,FALSE,"현장품질감사"}</definedName>
    <definedName name="fhgdretyjiklp" hidden="1">{#N/A,#N/A,FALSE,"현장 NCR 분석";#N/A,#N/A,FALSE,"현장품질감사";#N/A,#N/A,FALSE,"현장품질감사"}</definedName>
    <definedName name="GEMCO" localSheetId="24" hidden="1">#REF!</definedName>
    <definedName name="GEMCO" hidden="1">#REF!</definedName>
    <definedName name="gfdsajl" localSheetId="24" hidden="1">{#N/A,#N/A,FALSE,"현장 NCR 분석";#N/A,#N/A,FALSE,"현장품질감사";#N/A,#N/A,FALSE,"현장품질감사"}</definedName>
    <definedName name="gfdsajl" localSheetId="49" hidden="1">{#N/A,#N/A,FALSE,"현장 NCR 분석";#N/A,#N/A,FALSE,"현장품질감사";#N/A,#N/A,FALSE,"현장품질감사"}</definedName>
    <definedName name="gfdsajl" hidden="1">{#N/A,#N/A,FALSE,"현장 NCR 분석";#N/A,#N/A,FALSE,"현장품질감사";#N/A,#N/A,FALSE,"현장품질감사"}</definedName>
    <definedName name="gfgdfg" localSheetId="24" hidden="1">[7]차액보증!#REF!</definedName>
    <definedName name="gfgdfg" hidden="1">[7]차액보증!#REF!</definedName>
    <definedName name="GG" localSheetId="24" hidden="1">{#N/A,#N/A,FALSE,"현장 NCR 분석";#N/A,#N/A,FALSE,"현장품질감사";#N/A,#N/A,FALSE,"현장품질감사"}</definedName>
    <definedName name="GG" localSheetId="49" hidden="1">{#N/A,#N/A,FALSE,"현장 NCR 분석";#N/A,#N/A,FALSE,"현장품질감사";#N/A,#N/A,FALSE,"현장품질감사"}</definedName>
    <definedName name="GG" hidden="1">{#N/A,#N/A,FALSE,"현장 NCR 분석";#N/A,#N/A,FALSE,"현장품질감사";#N/A,#N/A,FALSE,"현장품질감사"}</definedName>
    <definedName name="GGG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gggggggggg" localSheetId="24" hidden="1">{#N/A,#N/A,FALSE,"현장 NCR 분석";#N/A,#N/A,FALSE,"현장품질감사";#N/A,#N/A,FALSE,"현장품질감사"}</definedName>
    <definedName name="ggggggggggggg" localSheetId="49" hidden="1">{#N/A,#N/A,FALSE,"현장 NCR 분석";#N/A,#N/A,FALSE,"현장품질감사";#N/A,#N/A,FALSE,"현장품질감사"}</definedName>
    <definedName name="ggggggggggggg" hidden="1">{#N/A,#N/A,FALSE,"현장 NCR 분석";#N/A,#N/A,FALSE,"현장품질감사";#N/A,#N/A,FALSE,"현장품질감사"}</definedName>
    <definedName name="gggggggggggggggggg" localSheetId="24" hidden="1">{#N/A,#N/A,FALSE,"현장 NCR 분석";#N/A,#N/A,FALSE,"현장품질감사";#N/A,#N/A,FALSE,"현장품질감사"}</definedName>
    <definedName name="gggggggggggggggggg" localSheetId="49" hidden="1">{#N/A,#N/A,FALSE,"현장 NCR 분석";#N/A,#N/A,FALSE,"현장품질감사";#N/A,#N/A,FALSE,"현장품질감사"}</definedName>
    <definedName name="gggggggggggggggggg" hidden="1">{#N/A,#N/A,FALSE,"현장 NCR 분석";#N/A,#N/A,FALSE,"현장품질감사";#N/A,#N/A,FALSE,"현장품질감사"}</definedName>
    <definedName name="GGGTR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localSheetId="24" hidden="1">{#N/A,#N/A,FALSE,"조골재"}</definedName>
    <definedName name="gh" localSheetId="49" hidden="1">{#N/A,#N/A,FALSE,"조골재"}</definedName>
    <definedName name="gh" hidden="1">{#N/A,#N/A,FALSE,"조골재"}</definedName>
    <definedName name="grew" localSheetId="24" hidden="1">#REF!</definedName>
    <definedName name="grew" hidden="1">#REF!</definedName>
    <definedName name="G견적" localSheetId="24" hidden="1">{#N/A,#N/A,TRUE,"손익보고"}</definedName>
    <definedName name="G견적" localSheetId="49" hidden="1">{#N/A,#N/A,TRUE,"손익보고"}</definedName>
    <definedName name="G견적" hidden="1">{#N/A,#N/A,TRUE,"손익보고"}</definedName>
    <definedName name="han" localSheetId="24" hidden="1">#REF!</definedName>
    <definedName name="han" hidden="1">#REF!</definedName>
    <definedName name="hardwar" localSheetId="24" hidden="1">[8]Sheet1!#REF!</definedName>
    <definedName name="hardwar" hidden="1">[8]Sheet1!#REF!</definedName>
    <definedName name="HERE" localSheetId="24" hidden="1">{#N/A,#N/A,TRUE,"손익보고"}</definedName>
    <definedName name="HERE" localSheetId="49" hidden="1">{#N/A,#N/A,TRUE,"손익보고"}</definedName>
    <definedName name="HERE" hidden="1">{#N/A,#N/A,TRUE,"손익보고"}</definedName>
    <definedName name="hgf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" localSheetId="24" hidden="1">#REF!</definedName>
    <definedName name="HHHH" hidden="1">#REF!</definedName>
    <definedName name="HTML1_1" hidden="1">"'[엑셀95-따라하기 문제.xls]인터넷 어시스턴트'!$A$1:$J$18"</definedName>
    <definedName name="HTML1_12" hidden="1">"C:\김종완\원고\[작업중] 한빛-엑셀70\CD-ROM문제\따라하기 문제&amp;그림\MyHTML01.htm"</definedName>
    <definedName name="HTML1_5" hidden="1">"엑셀 워크시트를 HTML문서로 변환한다. 이 적업은 &lt;한빛 미디어&gt; 책에서만 가능하며, [어린왕자]만의 독특한 아이디어 이다."</definedName>
    <definedName name="hytrewsd" localSheetId="24" hidden="1">{#N/A,#N/A,FALSE,"현장 NCR 분석";#N/A,#N/A,FALSE,"현장품질감사";#N/A,#N/A,FALSE,"현장품질감사"}</definedName>
    <definedName name="hytrewsd" localSheetId="49" hidden="1">{#N/A,#N/A,FALSE,"현장 NCR 분석";#N/A,#N/A,FALSE,"현장품질감사";#N/A,#N/A,FALSE,"현장품질감사"}</definedName>
    <definedName name="hytrewsd" hidden="1">{#N/A,#N/A,FALSE,"현장 NCR 분석";#N/A,#N/A,FALSE,"현장품질감사";#N/A,#N/A,FALSE,"현장품질감사"}</definedName>
    <definedName name="III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JELLS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OKJLMNY" localSheetId="24" hidden="1">{#N/A,#N/A,FALSE,"현장 NCR 분석";#N/A,#N/A,FALSE,"현장품질감사";#N/A,#N/A,FALSE,"현장품질감사"}</definedName>
    <definedName name="IOKJLMNY" localSheetId="49" hidden="1">{#N/A,#N/A,FALSE,"현장 NCR 분석";#N/A,#N/A,FALSE,"현장품질감사";#N/A,#N/A,FALSE,"현장품질감사"}</definedName>
    <definedName name="IOKJLMNY" hidden="1">{#N/A,#N/A,FALSE,"현장 NCR 분석";#N/A,#N/A,FALSE,"현장품질감사";#N/A,#N/A,FALSE,"현장품질감사"}</definedName>
    <definedName name="j" localSheetId="24" hidden="1">#REF!</definedName>
    <definedName name="j" hidden="1">#REF!</definedName>
    <definedName name="JJFOR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jjjjjjjjjjjjjjjjjjjjjjjjjjjjjjjjjjjjjjjjjjjjj" localSheetId="24" hidden="1">{#N/A,#N/A,FALSE,"현장 NCR 분석";#N/A,#N/A,FALSE,"현장품질감사";#N/A,#N/A,FALSE,"현장품질감사"}</definedName>
    <definedName name="jjjjjjjjjjjjjjjjjjjjjjjjjjjjjjjjjjjjjjjjjjjjjjjjjj" localSheetId="49" hidden="1">{#N/A,#N/A,FALSE,"현장 NCR 분석";#N/A,#N/A,FALSE,"현장품질감사";#N/A,#N/A,FALSE,"현장품질감사"}</definedName>
    <definedName name="jjjjjjjjjjjjjjjjjjjjjjjjjjjjjjjjjjjjjjjjjjjjjjjjjj" hidden="1">{#N/A,#N/A,FALSE,"현장 NCR 분석";#N/A,#N/A,FALSE,"현장품질감사";#N/A,#N/A,FALSE,"현장품질감사"}</definedName>
    <definedName name="JJSUW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d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e" localSheetId="24" hidden="1">#REF!</definedName>
    <definedName name="kfe" hidden="1">#REF!</definedName>
    <definedName name="KJURBGF" localSheetId="24" hidden="1">{#N/A,#N/A,FALSE,"현장 NCR 분석";#N/A,#N/A,FALSE,"현장품질감사";#N/A,#N/A,FALSE,"현장품질감사"}</definedName>
    <definedName name="KJURBGF" localSheetId="49" hidden="1">{#N/A,#N/A,FALSE,"현장 NCR 분석";#N/A,#N/A,FALSE,"현장품질감사";#N/A,#N/A,FALSE,"현장품질감사"}</definedName>
    <definedName name="KJURBGF" hidden="1">{#N/A,#N/A,FALSE,"현장 NCR 분석";#N/A,#N/A,FALSE,"현장품질감사";#N/A,#N/A,FALSE,"현장품질감사"}</definedName>
    <definedName name="KKA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KKKK" localSheetId="24" hidden="1">{#N/A,#N/A,FALSE,"현장 NCR 분석";#N/A,#N/A,FALSE,"현장품질감사";#N/A,#N/A,FALSE,"현장품질감사"}</definedName>
    <definedName name="KKKKKKKK" localSheetId="49" hidden="1">{#N/A,#N/A,FALSE,"현장 NCR 분석";#N/A,#N/A,FALSE,"현장품질감사";#N/A,#N/A,FALSE,"현장품질감사"}</definedName>
    <definedName name="KKKKKKKK" hidden="1">{#N/A,#N/A,FALSE,"현장 NCR 분석";#N/A,#N/A,FALSE,"현장품질감사";#N/A,#N/A,FALSE,"현장품질감사"}</definedName>
    <definedName name="KKKSJ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hgfdsrtu" localSheetId="24" hidden="1">{#N/A,#N/A,FALSE,"현장 NCR 분석";#N/A,#N/A,FALSE,"현장품질감사";#N/A,#N/A,FALSE,"현장품질감사"}</definedName>
    <definedName name="kljhgfdsrtu" localSheetId="49" hidden="1">{#N/A,#N/A,FALSE,"현장 NCR 분석";#N/A,#N/A,FALSE,"현장품질감사";#N/A,#N/A,FALSE,"현장품질감사"}</definedName>
    <definedName name="kljhgfdsrtu" hidden="1">{#N/A,#N/A,FALSE,"현장 NCR 분석";#N/A,#N/A,FALSE,"현장품질감사";#N/A,#N/A,FALSE,"현장품질감사"}</definedName>
    <definedName name="KTINFHSVRMWLOFJTUUGJLDJF" localSheetId="24" hidden="1">{#N/A,#N/A,FALSE,"현장 NCR 분석";#N/A,#N/A,FALSE,"현장품질감사";#N/A,#N/A,FALSE,"현장품질감사"}</definedName>
    <definedName name="KTINFHSVRMWLOFJTUUGJLDJF" localSheetId="49" hidden="1">{#N/A,#N/A,FALSE,"현장 NCR 분석";#N/A,#N/A,FALSE,"현장품질감사";#N/A,#N/A,FALSE,"현장품질감사"}</definedName>
    <definedName name="KTINFHSVRMWLOFJTUUGJLDJF" hidden="1">{#N/A,#N/A,FALSE,"현장 NCR 분석";#N/A,#N/A,FALSE,"현장품질감사";#N/A,#N/A,FALSE,"현장품질감사"}</definedName>
    <definedName name="LAK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FK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FK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FK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jg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jhgf" localSheetId="24" hidden="1">{#N/A,#N/A,FALSE,"현장 NCR 분석";#N/A,#N/A,FALSE,"현장품질감사";#N/A,#N/A,FALSE,"현장품질감사"}</definedName>
    <definedName name="lkjhgf" localSheetId="49" hidden="1">{#N/A,#N/A,FALSE,"현장 NCR 분석";#N/A,#N/A,FALSE,"현장품질감사";#N/A,#N/A,FALSE,"현장품질감사"}</definedName>
    <definedName name="lkjhgf" hidden="1">{#N/A,#N/A,FALSE,"현장 NCR 분석";#N/A,#N/A,FALSE,"현장품질감사";#N/A,#N/A,FALSE,"현장품질감사"}</definedName>
    <definedName name="ll" localSheetId="24" hidden="1">{"AJD",#N/A,TRUE,"Summary";"AJD",#N/A,TRUE,"CFCONC-outputs";"AJD",#N/A,TRUE,"P&amp;LCONC-outputs";"AJD",#N/A,TRUE,"BSCONC-outputs";"AJD",#N/A,TRUE,"FSCONC-outputs"}</definedName>
    <definedName name="ll" localSheetId="49" hidden="1">{"AJD",#N/A,TRUE,"Summary";"AJD",#N/A,TRUE,"CFCONC-outputs";"AJD",#N/A,TRUE,"P&amp;LCONC-outputs";"AJD",#N/A,TRUE,"BSCONC-outputs";"AJD",#N/A,TRUE,"FSCONC-outputs"}</definedName>
    <definedName name="ll" hidden="1">{"AJD",#N/A,TRUE,"Summary";"AJD",#N/A,TRUE,"CFCONC-outputs";"AJD",#N/A,TRUE,"P&amp;LCONC-outputs";"AJD",#N/A,TRUE,"BSCONC-outputs";"AJD",#N/A,TRUE,"FSCONC-outputs"}</definedName>
    <definedName name="LLDIEKK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llllllllllllllllllllllllllllllllllllllllll" localSheetId="24" hidden="1">{#N/A,#N/A,FALSE,"현장 NCR 분석";#N/A,#N/A,FALSE,"현장품질감사";#N/A,#N/A,FALSE,"현장품질감사"}</definedName>
    <definedName name="lllllllllllllllllllllllllllllllllllllllllllll" localSheetId="49" hidden="1">{#N/A,#N/A,FALSE,"현장 NCR 분석";#N/A,#N/A,FALSE,"현장품질감사";#N/A,#N/A,FALSE,"현장품질감사"}</definedName>
    <definedName name="lllllllllllllllllllllllllllllllllllllllllllll" hidden="1">{#N/A,#N/A,FALSE,"현장 NCR 분석";#N/A,#N/A,FALSE,"현장품질감사";#N/A,#N/A,FALSE,"현장품질감사"}</definedName>
    <definedName name="LLLS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" localSheetId="24" hidden="1">{#N/A,#N/A,TRUE,"토적및재료집계";#N/A,#N/A,TRUE,"토적및재료집계";#N/A,#N/A,TRUE,"단위량"}</definedName>
    <definedName name="mm" localSheetId="49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old예산" localSheetId="24" hidden="1">{#N/A,#N/A,TRUE,"손익보고"}</definedName>
    <definedName name="old예산" localSheetId="49" hidden="1">{#N/A,#N/A,TRUE,"손익보고"}</definedName>
    <definedName name="old예산" hidden="1">{#N/A,#N/A,TRUE,"손익보고"}</definedName>
    <definedName name="olp" localSheetId="24" hidden="1">{"AJD",#N/A,TRUE,"Summary";"AJD",#N/A,TRUE,"CFCONC-outputs";"AJD",#N/A,TRUE,"P&amp;LCONC-outputs";"AJD",#N/A,TRUE,"BSCONC-outputs";"AJD",#N/A,TRUE,"FSCONC-outputs"}</definedName>
    <definedName name="olp" localSheetId="49" hidden="1">{"AJD",#N/A,TRUE,"Summary";"AJD",#N/A,TRUE,"CFCONC-outputs";"AJD",#N/A,TRUE,"P&amp;LCONC-outputs";"AJD",#N/A,TRUE,"BSCONC-outputs";"AJD",#N/A,TRUE,"FSCONC-outputs"}</definedName>
    <definedName name="olp" hidden="1">{"AJD",#N/A,TRUE,"Summary";"AJD",#N/A,TRUE,"CFCONC-outputs";"AJD",#N/A,TRUE,"P&amp;LCONC-outputs";"AJD",#N/A,TRUE,"BSCONC-outputs";"AJD",#N/A,TRUE,"FSCONC-outputs"}</definedName>
    <definedName name="ooo" localSheetId="24" hidden="1">'[9]6PILE  (돌출)'!#REF!</definedName>
    <definedName name="ooo" hidden="1">'[9]6PILE  (돌출)'!#REF!</definedName>
    <definedName name="OPOP" localSheetId="24" hidden="1">[10]수량산출!#REF!</definedName>
    <definedName name="OPOP" hidden="1">[10]수량산출!#REF!</definedName>
    <definedName name="OPP" localSheetId="24" hidden="1">#REF!</definedName>
    <definedName name="OPP" hidden="1">#REF!</definedName>
    <definedName name="OPPP" hidden="1">[11]수량산출!$A$3:$H$8539</definedName>
    <definedName name="poopiiuuuuyyttthgf" localSheetId="24" hidden="1">{#N/A,#N/A,FALSE,"현장 NCR 분석";#N/A,#N/A,FALSE,"현장품질감사";#N/A,#N/A,FALSE,"현장품질감사"}</definedName>
    <definedName name="poopiiuuuuyyttthgf" localSheetId="49" hidden="1">{#N/A,#N/A,FALSE,"현장 NCR 분석";#N/A,#N/A,FALSE,"현장품질감사";#N/A,#N/A,FALSE,"현장품질감사"}</definedName>
    <definedName name="poopiiuuuuyyttthgf" hidden="1">{#N/A,#N/A,FALSE,"현장 NCR 분석";#N/A,#N/A,FALSE,"현장품질감사";#N/A,#N/A,FALSE,"현장품질감사"}</definedName>
    <definedName name="_xlnm.Print_Area" localSheetId="5">'2023년계약원가 비교'!$A$1:$J$60</definedName>
    <definedName name="_xlnm.Print_Area" localSheetId="24">#REF!</definedName>
    <definedName name="_xlnm.Print_Area" localSheetId="3">'36개월총괄'!$A$1:$K$49</definedName>
    <definedName name="_xlnm.Print_Area" localSheetId="25">가동시간!$A$1:$T$45</definedName>
    <definedName name="_xlnm.Print_Area" localSheetId="6">'간지#'!$A$1:$Y$56</definedName>
    <definedName name="_xlnm.Print_Area" localSheetId="51">감가상각비!$A$1:$P$16</definedName>
    <definedName name="_xlnm.Print_Area" localSheetId="4">갑지!$A$1:$AC$25</definedName>
    <definedName name="_xlnm.Print_Area" localSheetId="27">경비집계!$A$1:$H$35</definedName>
    <definedName name="_xlnm.Print_Area" localSheetId="33">'고정)건강검진비'!$A$1:$H$14</definedName>
    <definedName name="_xlnm.Print_Area" localSheetId="36">'고정)교육훈련비'!$A$1:$J$16</definedName>
    <definedName name="_xlnm.Print_Area" localSheetId="30">'고정)복리후생비집계'!$A$1:$AH$30</definedName>
    <definedName name="_xlnm.Print_Area" localSheetId="37">'고정)소모품비'!$A$1:$J$21</definedName>
    <definedName name="_xlnm.Print_Area" localSheetId="32">'고정)식대'!$A$1:$H$13</definedName>
    <definedName name="_xlnm.Print_Area" localSheetId="35">'고정)안전관리비'!$A$1:$J$20</definedName>
    <definedName name="_xlnm.Print_Area" localSheetId="34">'고정)의약품'!$A$1:$H$14</definedName>
    <definedName name="_xlnm.Print_Area" localSheetId="29">'고정)인적보험료'!$A$1:$O$153</definedName>
    <definedName name="_xlnm.Print_Area" localSheetId="28">'고정)인적보험료집계'!$A$1:$X$27</definedName>
    <definedName name="_xlnm.Print_Area" localSheetId="38">'고정)출장여비'!$A$1:$J$14</definedName>
    <definedName name="_xlnm.Print_Area" localSheetId="40">'고정)통신비'!$A$1:$J$12</definedName>
    <definedName name="_xlnm.Print_Area" localSheetId="31">'고정)피복비'!$A$1:$J$16</definedName>
    <definedName name="_xlnm.Print_Area" localSheetId="23">근무일수!$A$1:$O$13</definedName>
    <definedName name="_xlnm.Print_Area" localSheetId="26">기간현황!$A$1:$I$23</definedName>
    <definedName name="_xlnm.Print_Area" localSheetId="17">기본급추정!$A$1:$N$28</definedName>
    <definedName name="_xlnm.Print_Area" localSheetId="61">기업분석!$A$1:$H$43</definedName>
    <definedName name="_xlnm.Print_Area" localSheetId="49">#REF!</definedName>
    <definedName name="_xlnm.Print_Area" localSheetId="14">단위당인건비!$A$1:$H$377</definedName>
    <definedName name="_xlnm.Print_Area" localSheetId="46">'변동)보안관리비'!$A$1:$J$15</definedName>
    <definedName name="_xlnm.Print_Area" localSheetId="41">'변동)소모자재비'!$A$1:$J$16</definedName>
    <definedName name="_xlnm.Print_Area" localSheetId="42">'변동)수선유지비'!$A$1:$J$33</definedName>
    <definedName name="_xlnm.Print_Area" localSheetId="47">'변동)수집운반비'!$A$1:$F$14</definedName>
    <definedName name="_xlnm.Print_Area" localSheetId="44">'변동)안전점검대행비'!$A$1:$J$17</definedName>
    <definedName name="_xlnm.Print_Area" localSheetId="45">'변동)차량유지비'!$A$1:$J$18</definedName>
    <definedName name="_xlnm.Print_Area" localSheetId="43">'변동)측정검사수수료'!$A$1:$J$15</definedName>
    <definedName name="_xlnm.Print_Area" localSheetId="54">'변동-대)수도광열비'!$A$1:$J$20</definedName>
    <definedName name="_xlnm.Print_Area" localSheetId="55">'변동-대)시설물보험료'!$A$1:$J$20</definedName>
    <definedName name="_xlnm.Print_Area" localSheetId="52">'변동-대)전력비'!$A$1:$J$18</definedName>
    <definedName name="_xlnm.Print_Area" localSheetId="20">보험료산정기준!$A$1:$H$13</definedName>
    <definedName name="_xlnm.Print_Area" localSheetId="2">설명서!$A$1:$K$27</definedName>
    <definedName name="_xlnm.Print_Area" localSheetId="50">수리수선비!$A$1:$BJ$36</definedName>
    <definedName name="_xlnm.Print_Area" localSheetId="48">'수집운반_세금과공과 '!$A$1:$H$19</definedName>
    <definedName name="_xlnm.Print_Area" localSheetId="15">엔지니어노임!$A$1:$K$17</definedName>
    <definedName name="_xlnm.Print_Area" localSheetId="9">'용역원가(24년)'!$A$1:$J$51</definedName>
    <definedName name="_xlnm.Print_Area" localSheetId="10">'용역원가(25년) '!$A$1:$I$52</definedName>
    <definedName name="_xlnm.Print_Area" localSheetId="11">'용역원가(26년)'!$A$1:$I$51</definedName>
    <definedName name="_xlnm.Print_Area" localSheetId="8">용역원가집계!$A$1:$E$16</definedName>
    <definedName name="_xlnm.Print_Area" localSheetId="39">운임!$A$1:$G$18</definedName>
    <definedName name="_xlnm.Print_Area" localSheetId="16">월기본급!$A$1:$J$30</definedName>
    <definedName name="_xlnm.Print_Area" localSheetId="59">이윤!$A$1:$G$14</definedName>
    <definedName name="_xlnm.Print_Area" localSheetId="60">이윤율!$A$1:$F$11</definedName>
    <definedName name="_xlnm.Print_Area" localSheetId="18">인건비산정기준!$A$1:$H$10</definedName>
    <definedName name="_xlnm.Print_Area" localSheetId="12">인건비집계!$A$1:$T$27</definedName>
    <definedName name="_xlnm.Print_Area" localSheetId="56">일반관리비!$A$1:$F$13</definedName>
    <definedName name="_xlnm.Print_Area" localSheetId="57">일반관리비율!$A$1:$L$24</definedName>
    <definedName name="_xlnm.Print_Area" localSheetId="58">'일반-시행규칙'!$A$1:$F$16</definedName>
    <definedName name="_xlnm.Print_Area" localSheetId="53">전력사용량!$A$1:$L$23</definedName>
    <definedName name="_xlnm.Print_Area" localSheetId="13">제수당집계!$A$1:$T$27</definedName>
    <definedName name="_xlnm.Print_Area" localSheetId="7">차수별용역비!$A$1:$E$16</definedName>
    <definedName name="_xlnm.Print_Area" localSheetId="22">투입인원!$A$1:$G$27</definedName>
    <definedName name="_xlnm.Print_Area">#REF!</definedName>
    <definedName name="_xlnm.Print_Titles" localSheetId="30">'고정)복리후생비집계'!$2:$7</definedName>
    <definedName name="_xlnm.Print_Titles" localSheetId="29">'고정)인적보험료'!$2:$7</definedName>
    <definedName name="_xlnm.Print_Titles" localSheetId="28">'고정)인적보험료집계'!$2:$7</definedName>
    <definedName name="_xlnm.Print_Titles" localSheetId="61">기업분석!$2:$2</definedName>
    <definedName name="_xlnm.Print_Titles" localSheetId="14">단위당인건비!$2:$3</definedName>
    <definedName name="_xlnm.Print_Titles" localSheetId="16">월기본급!$2:$7</definedName>
    <definedName name="_xlnm.Print_Titles" localSheetId="12">인건비집계!$2:$7</definedName>
    <definedName name="_xlnm.Print_Titles" localSheetId="53">전력사용량!$2:$6</definedName>
    <definedName name="_xlnm.Print_Titles" localSheetId="13">제수당집계!$2:$6</definedName>
    <definedName name="_xlnm.Print_Titles" localSheetId="22">투입인원!$2:$7</definedName>
    <definedName name="q" hidden="1">'[12]#REF'!$C$1:$H$533</definedName>
    <definedName name="qor" hidden="1">[13]실행철강하도!$A$1:$A$4</definedName>
    <definedName name="qq" localSheetId="24" hidden="1">{#N/A,#N/A,FALSE,"단가표지"}</definedName>
    <definedName name="qq" localSheetId="49" hidden="1">{#N/A,#N/A,FALSE,"단가표지"}</definedName>
    <definedName name="qq" hidden="1">{#N/A,#N/A,FALSE,"단가표지"}</definedName>
    <definedName name="qqqqqq" localSheetId="24" hidden="1">{#N/A,#N/A,FALSE,"현장 NCR 분석";#N/A,#N/A,FALSE,"현장품질감사";#N/A,#N/A,FALSE,"현장품질감사"}</definedName>
    <definedName name="qqqqqq" localSheetId="49" hidden="1">{#N/A,#N/A,FALSE,"현장 NCR 분석";#N/A,#N/A,FALSE,"현장품질감사";#N/A,#N/A,FALSE,"현장품질감사"}</definedName>
    <definedName name="qqqqqq" hidden="1">{#N/A,#N/A,FALSE,"현장 NCR 분석";#N/A,#N/A,FALSE,"현장품질감사";#N/A,#N/A,FALSE,"현장품질감사"}</definedName>
    <definedName name="qw" localSheetId="24" hidden="1">{#N/A,#N/A,FALSE,"단가표지"}</definedName>
    <definedName name="qw" localSheetId="49" hidden="1">{#N/A,#N/A,FALSE,"단가표지"}</definedName>
    <definedName name="qw" hidden="1">{#N/A,#N/A,FALSE,"단가표지"}</definedName>
    <definedName name="QWS" localSheetId="24" hidden="1">#REF!</definedName>
    <definedName name="QWS" hidden="1">#REF!</definedName>
    <definedName name="RFGBVCDW" localSheetId="24" hidden="1">{#N/A,#N/A,FALSE,"현장 NCR 분석";#N/A,#N/A,FALSE,"현장품질감사";#N/A,#N/A,FALSE,"현장품질감사"}</definedName>
    <definedName name="RFGBVCDW" localSheetId="49" hidden="1">{#N/A,#N/A,FALSE,"현장 NCR 분석";#N/A,#N/A,FALSE,"현장품질감사";#N/A,#N/A,FALSE,"현장품질감사"}</definedName>
    <definedName name="RFGBVCDW" hidden="1">{#N/A,#N/A,FALSE,"현장 NCR 분석";#N/A,#N/A,FALSE,"현장품질감사";#N/A,#N/A,FALSE,"현장품질감사"}</definedName>
    <definedName name="RFVGBNH" localSheetId="24" hidden="1">{#N/A,#N/A,FALSE,"현장 NCR 분석";#N/A,#N/A,FALSE,"현장품질감사";#N/A,#N/A,FALSE,"현장품질감사"}</definedName>
    <definedName name="RFVGBNH" localSheetId="49" hidden="1">{#N/A,#N/A,FALSE,"현장 NCR 분석";#N/A,#N/A,FALSE,"현장품질감사";#N/A,#N/A,FALSE,"현장품질감사"}</definedName>
    <definedName name="RFVGBNH" hidden="1">{#N/A,#N/A,FALSE,"현장 NCR 분석";#N/A,#N/A,FALSE,"현장품질감사";#N/A,#N/A,FALSE,"현장품질감사"}</definedName>
    <definedName name="rkdkd" localSheetId="24" hidden="1">{#N/A,#N/A,FALSE,"2~8번"}</definedName>
    <definedName name="rkdkd" localSheetId="49" hidden="1">{#N/A,#N/A,FALSE,"2~8번"}</definedName>
    <definedName name="rkdkd" hidden="1">{#N/A,#N/A,FALSE,"2~8번"}</definedName>
    <definedName name="RRR" localSheetId="24" hidden="1">{#N/A,#N/A,FALSE,"포장2"}</definedName>
    <definedName name="RRR" localSheetId="49" hidden="1">{#N/A,#N/A,FALSE,"포장2"}</definedName>
    <definedName name="RRR" hidden="1">{#N/A,#N/A,FALSE,"포장2"}</definedName>
    <definedName name="rth" localSheetId="24" hidden="1">#REF!</definedName>
    <definedName name="rth" hidden="1">#REF!</definedName>
    <definedName name="s" localSheetId="24" hidden="1">{#N/A,#N/A,FALSE,"현장 NCR 분석";#N/A,#N/A,FALSE,"현장품질감사";#N/A,#N/A,FALSE,"현장품질감사"}</definedName>
    <definedName name="s" localSheetId="49" hidden="1">{#N/A,#N/A,FALSE,"현장 NCR 분석";#N/A,#N/A,FALSE,"현장품질감사";#N/A,#N/A,FALSE,"현장품질감사"}</definedName>
    <definedName name="s" hidden="1">{#N/A,#N/A,FALSE,"현장 NCR 분석";#N/A,#N/A,FALSE,"현장품질감사";#N/A,#N/A,FALSE,"현장품질감사"}</definedName>
    <definedName name="sasasassas" localSheetId="24" hidden="1">{#N/A,#N/A,FALSE,"현장 NCR 분석";#N/A,#N/A,FALSE,"현장품질감사";#N/A,#N/A,FALSE,"현장품질감사"}</definedName>
    <definedName name="sasasassas" localSheetId="49" hidden="1">{#N/A,#N/A,FALSE,"현장 NCR 분석";#N/A,#N/A,FALSE,"현장품질감사";#N/A,#N/A,FALSE,"현장품질감사"}</definedName>
    <definedName name="sasasassas" hidden="1">{#N/A,#N/A,FALSE,"현장 NCR 분석";#N/A,#N/A,FALSE,"현장품질감사";#N/A,#N/A,FALSE,"현장품질감사"}</definedName>
    <definedName name="SDCFG\" localSheetId="24" hidden="1">{#N/A,#N/A,FALSE,"운반시간"}</definedName>
    <definedName name="SDCFG\" localSheetId="49" hidden="1">{#N/A,#N/A,FALSE,"운반시간"}</definedName>
    <definedName name="SDCFG\" hidden="1">{#N/A,#N/A,FALSE,"운반시간"}</definedName>
    <definedName name="SDF" localSheetId="24" hidden="1">{#N/A,#N/A,FALSE,"혼합골재"}</definedName>
    <definedName name="SDF" localSheetId="49" hidden="1">{#N/A,#N/A,FALSE,"혼합골재"}</definedName>
    <definedName name="SDF" hidden="1">{#N/A,#N/A,FALSE,"혼합골재"}</definedName>
    <definedName name="sdfjljlj" localSheetId="24" hidden="1">#REF!</definedName>
    <definedName name="sdfjljlj" hidden="1">#REF!</definedName>
    <definedName name="sdg" localSheetId="24" hidden="1">#REF!</definedName>
    <definedName name="sdg" hidden="1">#REF!</definedName>
    <definedName name="ss" localSheetId="24" hidden="1">{#N/A,#N/A,FALSE,"운반시간"}</definedName>
    <definedName name="ss" localSheetId="49" hidden="1">{#N/A,#N/A,FALSE,"운반시간"}</definedName>
    <definedName name="ss" hidden="1">{#N/A,#N/A,FALSE,"운반시간"}</definedName>
    <definedName name="sss" localSheetId="24" hidden="1">#REF!</definedName>
    <definedName name="sss" hidden="1">#REF!</definedName>
    <definedName name="T">#N/A</definedName>
    <definedName name="t.c설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t.c설치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t.c설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TGFR" localSheetId="24" hidden="1">{#N/A,#N/A,FALSE,"현장 NCR 분석";#N/A,#N/A,FALSE,"현장품질감사";#N/A,#N/A,FALSE,"현장품질감사"}</definedName>
    <definedName name="TGFR" localSheetId="49" hidden="1">{#N/A,#N/A,FALSE,"현장 NCR 분석";#N/A,#N/A,FALSE,"현장품질감사";#N/A,#N/A,FALSE,"현장품질감사"}</definedName>
    <definedName name="TGFR" hidden="1">{#N/A,#N/A,FALSE,"현장 NCR 분석";#N/A,#N/A,FALSE,"현장품질감사";#N/A,#N/A,FALSE,"현장품질감사"}</definedName>
    <definedName name="tr" localSheetId="24" hidden="1">#REF!</definedName>
    <definedName name="tr" hidden="1">#REF!</definedName>
    <definedName name="treuipo" localSheetId="24" hidden="1">{#N/A,#N/A,FALSE,"현장 NCR 분석";#N/A,#N/A,FALSE,"현장품질감사";#N/A,#N/A,FALSE,"현장품질감사"}</definedName>
    <definedName name="treuipo" localSheetId="49" hidden="1">{#N/A,#N/A,FALSE,"현장 NCR 분석";#N/A,#N/A,FALSE,"현장품질감사";#N/A,#N/A,FALSE,"현장품질감사"}</definedName>
    <definedName name="treuipo" hidden="1">{#N/A,#N/A,FALSE,"현장 NCR 분석";#N/A,#N/A,FALSE,"현장품질감사";#N/A,#N/A,FALSE,"현장품질감사"}</definedName>
    <definedName name="TTTT" localSheetId="24" hidden="1">#REF!</definedName>
    <definedName name="TTTT" hidden="1">#REF!</definedName>
    <definedName name="tyettyuierghjkk" localSheetId="24" hidden="1">{#N/A,#N/A,FALSE,"현장 NCR 분석";#N/A,#N/A,FALSE,"현장품질감사";#N/A,#N/A,FALSE,"현장품질감사"}</definedName>
    <definedName name="tyettyuierghjkk" localSheetId="49" hidden="1">{#N/A,#N/A,FALSE,"현장 NCR 분석";#N/A,#N/A,FALSE,"현장품질감사";#N/A,#N/A,FALSE,"현장품질감사"}</definedName>
    <definedName name="tyettyuierghjkk" hidden="1">{#N/A,#N/A,FALSE,"현장 NCR 분석";#N/A,#N/A,FALSE,"현장품질감사";#N/A,#N/A,FALSE,"현장품질감사"}</definedName>
    <definedName name="TYREWQ" localSheetId="24" hidden="1">{#N/A,#N/A,FALSE,"현장 NCR 분석";#N/A,#N/A,FALSE,"현장품질감사";#N/A,#N/A,FALSE,"현장품질감사"}</definedName>
    <definedName name="TYREWQ" localSheetId="49" hidden="1">{#N/A,#N/A,FALSE,"현장 NCR 분석";#N/A,#N/A,FALSE,"현장품질감사";#N/A,#N/A,FALSE,"현장품질감사"}</definedName>
    <definedName name="TYREWQ" hidden="1">{#N/A,#N/A,FALSE,"현장 NCR 분석";#N/A,#N/A,FALSE,"현장품질감사";#N/A,#N/A,FALSE,"현장품질감사"}</definedName>
    <definedName name="ujdffdf" localSheetId="24" hidden="1">{#N/A,#N/A,FALSE,"단가표지"}</definedName>
    <definedName name="ujdffdf" localSheetId="49" hidden="1">{#N/A,#N/A,FALSE,"단가표지"}</definedName>
    <definedName name="ujdffdf" hidden="1">{#N/A,#N/A,FALSE,"단가표지"}</definedName>
    <definedName name="UJGTE" localSheetId="24" hidden="1">{#N/A,#N/A,FALSE,"현장 NCR 분석";#N/A,#N/A,FALSE,"현장품질감사";#N/A,#N/A,FALSE,"현장품질감사"}</definedName>
    <definedName name="UJGTE" localSheetId="49" hidden="1">{#N/A,#N/A,FALSE,"현장 NCR 분석";#N/A,#N/A,FALSE,"현장품질감사";#N/A,#N/A,FALSE,"현장품질감사"}</definedName>
    <definedName name="UJGTE" hidden="1">{#N/A,#N/A,FALSE,"현장 NCR 분석";#N/A,#N/A,FALSE,"현장품질감사";#N/A,#N/A,FALSE,"현장품질감사"}</definedName>
    <definedName name="UNIT" localSheetId="5">#REF!</definedName>
    <definedName name="UNIT" localSheetId="24">#REF!</definedName>
    <definedName name="UNIT" localSheetId="49">#REF!</definedName>
    <definedName name="UNIT" localSheetId="48">#REF!</definedName>
    <definedName name="UNIT">#REF!</definedName>
    <definedName name="uuuu" localSheetId="24" hidden="1">{#N/A,#N/A,FALSE,"단가표지"}</definedName>
    <definedName name="uuuu" localSheetId="49" hidden="1">{#N/A,#N/A,FALSE,"단가표지"}</definedName>
    <definedName name="uuuu" hidden="1">{#N/A,#N/A,FALSE,"단가표지"}</definedName>
    <definedName name="VV" localSheetId="24" hidden="1">{#N/A,#N/A,FALSE,"현장 NCR 분석";#N/A,#N/A,FALSE,"현장품질감사";#N/A,#N/A,FALSE,"현장품질감사"}</definedName>
    <definedName name="VV" localSheetId="49" hidden="1">{#N/A,#N/A,FALSE,"현장 NCR 분석";#N/A,#N/A,FALSE,"현장품질감사";#N/A,#N/A,FALSE,"현장품질감사"}</definedName>
    <definedName name="VV" hidden="1">{#N/A,#N/A,FALSE,"현장 NCR 분석";#N/A,#N/A,FALSE,"현장품질감사";#N/A,#N/A,FALSE,"현장품질감사"}</definedName>
    <definedName name="WEDSCVG" localSheetId="24" hidden="1">{#N/A,#N/A,FALSE,"현장 NCR 분석";#N/A,#N/A,FALSE,"현장품질감사";#N/A,#N/A,FALSE,"현장품질감사"}</definedName>
    <definedName name="WEDSCVG" localSheetId="49" hidden="1">{#N/A,#N/A,FALSE,"현장 NCR 분석";#N/A,#N/A,FALSE,"현장품질감사";#N/A,#N/A,FALSE,"현장품질감사"}</definedName>
    <definedName name="WEDSCVG" hidden="1">{#N/A,#N/A,FALSE,"현장 NCR 분석";#N/A,#N/A,FALSE,"현장품질감사";#N/A,#N/A,FALSE,"현장품질감사"}</definedName>
    <definedName name="wererr" localSheetId="24" hidden="1">{#N/A,#N/A,FALSE,"운반시간"}</definedName>
    <definedName name="wererr" localSheetId="49" hidden="1">{#N/A,#N/A,FALSE,"운반시간"}</definedName>
    <definedName name="wererr" hidden="1">{#N/A,#N/A,FALSE,"운반시간"}</definedName>
    <definedName name="werewr" localSheetId="24" hidden="1">{#N/A,#N/A,FALSE,"골재소요량";#N/A,#N/A,FALSE,"골재소요량"}</definedName>
    <definedName name="werewr" localSheetId="49" hidden="1">{#N/A,#N/A,FALSE,"골재소요량";#N/A,#N/A,FALSE,"골재소요량"}</definedName>
    <definedName name="werewr" hidden="1">{#N/A,#N/A,FALSE,"골재소요량";#N/A,#N/A,FALSE,"골재소요량"}</definedName>
    <definedName name="wert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wrrrre" localSheetId="24" hidden="1">{#N/A,#N/A,FALSE,"현장 NCR 분석";#N/A,#N/A,FALSE,"현장품질감사";#N/A,#N/A,FALSE,"현장품질감사"}</definedName>
    <definedName name="wewrrrre" localSheetId="49" hidden="1">{#N/A,#N/A,FALSE,"현장 NCR 분석";#N/A,#N/A,FALSE,"현장품질감사";#N/A,#N/A,FALSE,"현장품질감사"}</definedName>
    <definedName name="wewrrrre" hidden="1">{#N/A,#N/A,FALSE,"현장 NCR 분석";#N/A,#N/A,FALSE,"현장품질감사";#N/A,#N/A,FALSE,"현장품질감사"}</definedName>
    <definedName name="WIN용찬." localSheetId="24" hidden="1">{#N/A,#N/A,TRUE,"토적및재료집계";#N/A,#N/A,TRUE,"토적및재료집계";#N/A,#N/A,TRUE,"단위량"}</definedName>
    <definedName name="WIN용찬." localSheetId="49" hidden="1">{#N/A,#N/A,TRUE,"토적및재료집계";#N/A,#N/A,TRUE,"토적및재료집계";#N/A,#N/A,TRUE,"단위량"}</definedName>
    <definedName name="WIN용찬." hidden="1">{#N/A,#N/A,TRUE,"토적및재료집계";#N/A,#N/A,TRUE,"토적및재료집계";#N/A,#N/A,TRUE,"단위량"}</definedName>
    <definedName name="wm.조골재1" localSheetId="24" hidden="1">{#N/A,#N/A,FALSE,"조골재"}</definedName>
    <definedName name="wm.조골재1" localSheetId="49" hidden="1">{#N/A,#N/A,FALSE,"조골재"}</definedName>
    <definedName name="wm.조골재1" hidden="1">{#N/A,#N/A,FALSE,"조골재"}</definedName>
    <definedName name="wrn.2번." localSheetId="24" hidden="1">{#N/A,#N/A,FALSE,"2~8번"}</definedName>
    <definedName name="wrn.2번." localSheetId="49" hidden="1">{#N/A,#N/A,FALSE,"2~8번"}</definedName>
    <definedName name="wrn.2번." hidden="1">{#N/A,#N/A,FALSE,"2~8번"}</definedName>
    <definedName name="wrn.97년._.사업계획._.및._.예산지침." localSheetId="24" hidden="1">{#N/A,#N/A,TRUE,"1";#N/A,#N/A,TRUE,"2";#N/A,#N/A,TRUE,"3";#N/A,#N/A,TRUE,"4";#N/A,#N/A,TRUE,"5";#N/A,#N/A,TRUE,"6";#N/A,#N/A,TRUE,"7"}</definedName>
    <definedName name="wrn.97년._.사업계획._.및._.예산지침." localSheetId="49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JDSuite." localSheetId="24" hidden="1">{"AJD",#N/A,TRUE,"Summary";"AJD",#N/A,TRUE,"CFCONC-outputs";"AJD",#N/A,TRUE,"P&amp;LCONC-outputs";"AJD",#N/A,TRUE,"BSCONC-outputs";"AJD",#N/A,TRUE,"FSCONC-outputs"}</definedName>
    <definedName name="wrn.AJDSuite." localSheetId="49" hidden="1">{"AJD",#N/A,TRUE,"Summary";"AJD",#N/A,TRUE,"CFCONC-outputs";"AJD",#N/A,TRUE,"P&amp;LCONC-outputs";"AJD",#N/A,TRUE,"BSCONC-outputs";"AJD",#N/A,TRUE,"FSCONC-outputs"}</definedName>
    <definedName name="wrn.AJDSuite." hidden="1">{"AJD",#N/A,TRUE,"Summary";"AJD",#N/A,TRUE,"CFCONC-outputs";"AJD",#N/A,TRUE,"P&amp;LCONC-outputs";"AJD",#N/A,TRUE,"BSCONC-outputs";"AJD",#N/A,TRUE,"FSCONC-outputs"}</definedName>
    <definedName name="wrn.ALL._.REPORT." localSheetId="24" hidden="1">{"ALL",#N/A,FALSE,"31-SEC";"ALL",#N/A,FALSE,"32-SEC";"ALL",#N/A,FALSE,"33-SEC";#N/A,#N/A,FALSE,"34-SEC";#N/A,#N/A,FALSE,"35-SEC"}</definedName>
    <definedName name="wrn.ALL._.REPORT." localSheetId="49" hidden="1">{"ALL",#N/A,FALSE,"31-SEC";"ALL",#N/A,FALSE,"32-SEC";"ALL",#N/A,FALSE,"33-SEC";#N/A,#N/A,FALSE,"34-SEC";#N/A,#N/A,FALSE,"35-SEC"}</definedName>
    <definedName name="wrn.ALL._.REPORT." hidden="1">{"ALL",#N/A,FALSE,"31-SEC";"ALL",#N/A,FALSE,"32-SEC";"ALL",#N/A,FALSE,"33-SEC";#N/A,#N/A,FALSE,"34-SEC";#N/A,#N/A,FALSE,"35-SEC"}</definedName>
    <definedName name="wrn.Construction._.Costs." localSheetId="24" hidden="1">{"Const Costs Dev",#N/A,FALSE,"Construction Cost Inputs";"Const Costs orig ccy",#N/A,FALSE,"Construction Cost Inputs";"Const Costs USD",#N/A,FALSE,"Construction Cost Inputs"}</definedName>
    <definedName name="wrn.Construction._.Costs." localSheetId="49" hidden="1">{"Const Costs Dev",#N/A,FALSE,"Construction Cost Inputs";"Const Costs orig ccy",#N/A,FALSE,"Construction Cost Inputs";"Const Costs USD",#N/A,FALSE,"Construction Cost Inputs"}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Financing._.Inputs." localSheetId="24" hidden="1">{"BuildIn 2 Funding Assump",#N/A,FALSE,"Building Inputs";"BuildIn Capex plus Extras",#N/A,FALSE,"Building Inputs"}</definedName>
    <definedName name="wrn.Financing._.Inputs." localSheetId="49" hidden="1">{"BuildIn 2 Funding Assump",#N/A,FALSE,"Building Inputs";"BuildIn Capex plus Extras",#N/A,FALSE,"Building Inputs"}</definedName>
    <definedName name="wrn.Financing._.Inputs." hidden="1">{"BuildIn 2 Funding Assump",#N/A,FALSE,"Building Inputs";"BuildIn Capex plus Extras",#N/A,FALSE,"Building Inputs"}</definedName>
    <definedName name="wrn.OpCostIn." localSheetId="24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localSheetId="49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VESSEL및N2._.구입사양서.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골재소요량." localSheetId="24" hidden="1">{#N/A,#N/A,FALSE,"골재소요량";#N/A,#N/A,FALSE,"골재소요량"}</definedName>
    <definedName name="wrn.골재소요량." localSheetId="49" hidden="1">{#N/A,#N/A,FALSE,"골재소요량";#N/A,#N/A,FALSE,"골재소요량"}</definedName>
    <definedName name="wrn.골재소요량." hidden="1">{#N/A,#N/A,FALSE,"골재소요량";#N/A,#N/A,FALSE,"골재소요량"}</definedName>
    <definedName name="wrn.교대구조계산.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24" hidden="1">{#N/A,#N/A,FALSE,"전력간선"}</definedName>
    <definedName name="wrn.교육청." localSheetId="49" hidden="1">{#N/A,#N/A,FALSE,"전력간선"}</definedName>
    <definedName name="wrn.교육청." hidden="1">{#N/A,#N/A,FALSE,"전력간선"}</definedName>
    <definedName name="wrn.구조2." localSheetId="24" hidden="1">{#N/A,#N/A,FALSE,"구조2"}</definedName>
    <definedName name="wrn.구조2." localSheetId="49" hidden="1">{#N/A,#N/A,FALSE,"구조2"}</definedName>
    <definedName name="wrn.구조2." hidden="1">{#N/A,#N/A,FALSE,"구조2"}</definedName>
    <definedName name="wrn.단가표지." localSheetId="24" hidden="1">{#N/A,#N/A,FALSE,"단가표지"}</definedName>
    <definedName name="wrn.단가표지." localSheetId="49" hidden="1">{#N/A,#N/A,FALSE,"단가표지"}</definedName>
    <definedName name="wrn.단가표지." hidden="1">{#N/A,#N/A,FALSE,"단가표지"}</definedName>
    <definedName name="wrn.배수1." localSheetId="24" hidden="1">{#N/A,#N/A,FALSE,"배수1"}</definedName>
    <definedName name="wrn.배수1." localSheetId="49" hidden="1">{#N/A,#N/A,FALSE,"배수1"}</definedName>
    <definedName name="wrn.배수1." hidden="1">{#N/A,#N/A,FALSE,"배수1"}</definedName>
    <definedName name="wrn.배수2." localSheetId="24" hidden="1">{#N/A,#N/A,FALSE,"배수2"}</definedName>
    <definedName name="wrn.배수2." localSheetId="49" hidden="1">{#N/A,#N/A,FALSE,"배수2"}</definedName>
    <definedName name="wrn.배수2." hidden="1">{#N/A,#N/A,FALSE,"배수2"}</definedName>
    <definedName name="wrn.부대1." localSheetId="24" hidden="1">{#N/A,#N/A,FALSE,"부대1"}</definedName>
    <definedName name="wrn.부대1." localSheetId="49" hidden="1">{#N/A,#N/A,FALSE,"부대1"}</definedName>
    <definedName name="wrn.부대1." hidden="1">{#N/A,#N/A,FALSE,"부대1"}</definedName>
    <definedName name="wrn.부대2." localSheetId="24" hidden="1">{#N/A,#N/A,FALSE,"부대2"}</definedName>
    <definedName name="wrn.부대2." localSheetId="49" hidden="1">{#N/A,#N/A,FALSE,"부대2"}</definedName>
    <definedName name="wrn.부대2." hidden="1">{#N/A,#N/A,FALSE,"부대2"}</definedName>
    <definedName name="wrn.부산주경기장.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24" hidden="1">{#N/A,#N/A,FALSE,"속도"}</definedName>
    <definedName name="wrn.속도." localSheetId="49" hidden="1">{#N/A,#N/A,FALSE,"속도"}</definedName>
    <definedName name="wrn.속도." hidden="1">{#N/A,#N/A,FALSE,"속도"}</definedName>
    <definedName name="wrn.손익._.보고." localSheetId="24" hidden="1">{#N/A,#N/A,TRUE,"손익보고"}</definedName>
    <definedName name="wrn.손익._.보고." localSheetId="49" hidden="1">{#N/A,#N/A,TRUE,"손익보고"}</definedName>
    <definedName name="wrn.손익._.보고." hidden="1">{#N/A,#N/A,TRUE,"손익보고"}</definedName>
    <definedName name="wrn.손익보고.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신용찬." localSheetId="24" hidden="1">{#N/A,#N/A,TRUE,"토적및재료집계";#N/A,#N/A,TRUE,"토적및재료집계";#N/A,#N/A,TRUE,"단위량"}</definedName>
    <definedName name="wrn.신용찬." localSheetId="49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24" hidden="1">{#N/A,#N/A,FALSE,"운반시간"}</definedName>
    <definedName name="wrn.운반시간." localSheetId="49" hidden="1">{#N/A,#N/A,FALSE,"운반시간"}</definedName>
    <definedName name="wrn.운반시간." hidden="1">{#N/A,#N/A,FALSE,"운반시간"}</definedName>
    <definedName name="wrn.이정표." localSheetId="24" hidden="1">{#N/A,#N/A,FALSE,"이정표"}</definedName>
    <definedName name="wrn.이정표." localSheetId="49" hidden="1">{#N/A,#N/A,FALSE,"이정표"}</definedName>
    <definedName name="wrn.이정표." hidden="1">{#N/A,#N/A,FALSE,"이정표"}</definedName>
    <definedName name="wrn.전열선출서." localSheetId="24" hidden="1">{#N/A,#N/A,FALSE,"전열산출서"}</definedName>
    <definedName name="wrn.전열선출서." localSheetId="49" hidden="1">{#N/A,#N/A,FALSE,"전열산출서"}</definedName>
    <definedName name="wrn.전열선출서." hidden="1">{#N/A,#N/A,FALSE,"전열산출서"}</definedName>
    <definedName name="wrn.조골재." localSheetId="24" hidden="1">{#N/A,#N/A,FALSE,"조골재"}</definedName>
    <definedName name="wrn.조골재." localSheetId="49" hidden="1">{#N/A,#N/A,FALSE,"조골재"}</definedName>
    <definedName name="wrn.조골재." hidden="1">{#N/A,#N/A,FALSE,"조골재"}</definedName>
    <definedName name="wrn.철골집계표._.5칸." localSheetId="24" hidden="1">{#N/A,#N/A,FALSE,"Sheet1"}</definedName>
    <definedName name="wrn.철골집계표._.5칸." localSheetId="49" hidden="1">{#N/A,#N/A,FALSE,"Sheet1"}</definedName>
    <definedName name="wrn.철골집계표._.5칸." hidden="1">{#N/A,#N/A,FALSE,"Sheet1"}</definedName>
    <definedName name="wrn.토공1." localSheetId="24" hidden="1">{#N/A,#N/A,FALSE,"구조1"}</definedName>
    <definedName name="wrn.토공1." localSheetId="49" hidden="1">{#N/A,#N/A,FALSE,"구조1"}</definedName>
    <definedName name="wrn.토공1." hidden="1">{#N/A,#N/A,FALSE,"구조1"}</definedName>
    <definedName name="wrn.토공2." localSheetId="24" hidden="1">{#N/A,#N/A,FALSE,"토공2"}</definedName>
    <definedName name="wrn.토공2." localSheetId="49" hidden="1">{#N/A,#N/A,FALSE,"토공2"}</definedName>
    <definedName name="wrn.토공2." hidden="1">{#N/A,#N/A,FALSE,"토공2"}</definedName>
    <definedName name="wrn.포장1." localSheetId="24" hidden="1">{#N/A,#N/A,FALSE,"포장1";#N/A,#N/A,FALSE,"포장1"}</definedName>
    <definedName name="wrn.포장1." localSheetId="49" hidden="1">{#N/A,#N/A,FALSE,"포장1";#N/A,#N/A,FALSE,"포장1"}</definedName>
    <definedName name="wrn.포장1." hidden="1">{#N/A,#N/A,FALSE,"포장1";#N/A,#N/A,FALSE,"포장1"}</definedName>
    <definedName name="wrn.포장2." localSheetId="24" hidden="1">{#N/A,#N/A,FALSE,"포장2"}</definedName>
    <definedName name="wrn.포장2." localSheetId="49" hidden="1">{#N/A,#N/A,FALSE,"포장2"}</definedName>
    <definedName name="wrn.포장2." hidden="1">{#N/A,#N/A,FALSE,"포장2"}</definedName>
    <definedName name="wrn.포장단가." localSheetId="24" hidden="1">{#N/A,#N/A,FALSE,"포장단가"}</definedName>
    <definedName name="wrn.포장단가." localSheetId="49" hidden="1">{#N/A,#N/A,FALSE,"포장단가"}</definedName>
    <definedName name="wrn.포장단가." hidden="1">{#N/A,#N/A,FALSE,"포장단가"}</definedName>
    <definedName name="wrn.표준공종단가.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24" hidden="1">{#N/A,#N/A,FALSE,"표지"}</definedName>
    <definedName name="wrn.표지." localSheetId="49" hidden="1">{#N/A,#N/A,FALSE,"표지"}</definedName>
    <definedName name="wrn.표지." hidden="1">{#N/A,#N/A,FALSE,"표지"}</definedName>
    <definedName name="wrn.표지목차." localSheetId="24" hidden="1">{#N/A,#N/A,FALSE,"표지목차"}</definedName>
    <definedName name="wrn.표지목차." localSheetId="49" hidden="1">{#N/A,#N/A,FALSE,"표지목차"}</definedName>
    <definedName name="wrn.표지목차." hidden="1">{#N/A,#N/A,FALSE,"표지목차"}</definedName>
    <definedName name="wrn.현장._.NCR._.분석." localSheetId="24" hidden="1">{#N/A,#N/A,FALSE,"현장 NCR 분석";#N/A,#N/A,FALSE,"현장품질감사";#N/A,#N/A,FALSE,"현장품질감사"}</definedName>
    <definedName name="wrn.현장._.NCR._.분석." localSheetId="49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24" hidden="1">{#N/A,#N/A,FALSE,"혼합골재"}</definedName>
    <definedName name="wrn.혼합골재." localSheetId="49" hidden="1">{#N/A,#N/A,FALSE,"혼합골재"}</definedName>
    <definedName name="wrn.혼합골재." hidden="1">{#N/A,#N/A,FALSE,"혼합골재"}</definedName>
    <definedName name="WW" localSheetId="5">#REF!</definedName>
    <definedName name="ww" localSheetId="24" hidden="1">{#N/A,#N/A,FALSE,"현장 NCR 분석";#N/A,#N/A,FALSE,"현장품질감사";#N/A,#N/A,FALSE,"현장품질감사"}</definedName>
    <definedName name="ww" localSheetId="49" hidden="1">{#N/A,#N/A,FALSE,"현장 NCR 분석";#N/A,#N/A,FALSE,"현장품질감사";#N/A,#N/A,FALSE,"현장품질감사"}</definedName>
    <definedName name="ww" localSheetId="48" hidden="1">{#N/A,#N/A,FALSE,"현장 NCR 분석";#N/A,#N/A,FALSE,"현장품질감사";#N/A,#N/A,FALSE,"현장품질감사"}</definedName>
    <definedName name="WW" localSheetId="7">#REF!</definedName>
    <definedName name="WW">#REF!</definedName>
    <definedName name="WWW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x" hidden="1">'[12]#REF'!$A$1:$A$1714</definedName>
    <definedName name="xxx" hidden="1">'[12]#REF'!$A$1:$A$1714</definedName>
    <definedName name="YBG견적서통" localSheetId="24" hidden="1">{#N/A,#N/A,TRUE,"손익보고"}</definedName>
    <definedName name="YBG견적서통" localSheetId="49" hidden="1">{#N/A,#N/A,TRUE,"손익보고"}</definedName>
    <definedName name="YBG견적서통" hidden="1">{#N/A,#N/A,TRUE,"손익보고"}</definedName>
    <definedName name="yyuiyuyy" localSheetId="24" hidden="1">{#N/A,#N/A,FALSE,"현장 NCR 분석";#N/A,#N/A,FALSE,"현장품질감사";#N/A,#N/A,FALSE,"현장품질감사"}</definedName>
    <definedName name="yyuiyuyy" localSheetId="49" hidden="1">{#N/A,#N/A,FALSE,"현장 NCR 분석";#N/A,#N/A,FALSE,"현장품질감사";#N/A,#N/A,FALSE,"현장품질감사"}</definedName>
    <definedName name="yyuiyuyy" hidden="1">{#N/A,#N/A,FALSE,"현장 NCR 분석";#N/A,#N/A,FALSE,"현장품질감사";#N/A,#N/A,FALSE,"현장품질감사"}</definedName>
    <definedName name="YYY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Y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" localSheetId="24" hidden="1">{#N/A,#N/A,FALSE,"현장 NCR 분석";#N/A,#N/A,FALSE,"현장품질감사";#N/A,#N/A,FALSE,"현장품질감사"}</definedName>
    <definedName name="Z" localSheetId="49" hidden="1">{#N/A,#N/A,FALSE,"현장 NCR 분석";#N/A,#N/A,FALSE,"현장품질감사";#N/A,#N/A,FALSE,"현장품질감사"}</definedName>
    <definedName name="Z" hidden="1">{#N/A,#N/A,FALSE,"현장 NCR 분석";#N/A,#N/A,FALSE,"현장품질감사";#N/A,#N/A,FALSE,"현장품질감사"}</definedName>
    <definedName name="za" hidden="1">[14]실행철강하도!$A$1:$A$4</definedName>
    <definedName name="ㄱ" localSheetId="24" hidden="1">[11]수량산출!#REF!</definedName>
    <definedName name="ㄱ" hidden="1">[11]수량산출!#REF!</definedName>
    <definedName name="ㄱㄱㄱ" localSheetId="24" hidden="1">{#N/A,#N/A,FALSE,"표지목차"}</definedName>
    <definedName name="ㄱㄱㄱ" localSheetId="49" hidden="1">{#N/A,#N/A,FALSE,"표지목차"}</definedName>
    <definedName name="ㄱㄱㄱ" hidden="1">{#N/A,#N/A,FALSE,"표지목차"}</definedName>
    <definedName name="ㄱㄷ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ㄱㄷㄱ" localSheetId="24" hidden="1">{#N/A,#N/A,FALSE,"현장 NCR 분석";#N/A,#N/A,FALSE,"현장품질감사";#N/A,#N/A,FALSE,"현장품질감사"}</definedName>
    <definedName name="ㄱㄷㄱ" localSheetId="49" hidden="1">{#N/A,#N/A,FALSE,"현장 NCR 분석";#N/A,#N/A,FALSE,"현장품질감사";#N/A,#N/A,FALSE,"현장품질감사"}</definedName>
    <definedName name="ㄱㄷㄱ" hidden="1">{#N/A,#N/A,FALSE,"현장 NCR 분석";#N/A,#N/A,FALSE,"현장품질감사";#N/A,#N/A,FALSE,"현장품질감사"}</definedName>
    <definedName name="ㄱㅈㅎ" localSheetId="24" hidden="1">#REF!</definedName>
    <definedName name="ㄱㅈㅎ" hidden="1">#REF!</definedName>
    <definedName name="가가가가가가가가가각가ㅏ" localSheetId="24" hidden="1">{#N/A,#N/A,FALSE,"현장 NCR 분석";#N/A,#N/A,FALSE,"현장품질감사";#N/A,#N/A,FALSE,"현장품질감사"}</definedName>
    <definedName name="가가가가가가가가가각가ㅏ" localSheetId="49" hidden="1">{#N/A,#N/A,FALSE,"현장 NCR 분석";#N/A,#N/A,FALSE,"현장품질감사";#N/A,#N/A,FALSE,"현장품질감사"}</definedName>
    <definedName name="가가가가가가가가가각가ㅏ" hidden="1">{#N/A,#N/A,FALSE,"현장 NCR 분석";#N/A,#N/A,FALSE,"현장품질감사";#N/A,#N/A,FALSE,"현장품질감사"}</definedName>
    <definedName name="가설공사" localSheetId="24" hidden="1">#REF!</definedName>
    <definedName name="가설공사" hidden="1">#REF!</definedName>
    <definedName name="가아" localSheetId="24" hidden="1">[15]수량산출!#REF!</definedName>
    <definedName name="가아" hidden="1">[15]수량산출!#REF!</definedName>
    <definedName name="간" localSheetId="24" hidden="1">#REF!</definedName>
    <definedName name="간" hidden="1">#REF!</definedName>
    <definedName name="간지" localSheetId="24" hidden="1">{#N/A,#N/A,FALSE,"포장단가"}</definedName>
    <definedName name="간지" localSheetId="49" hidden="1">{#N/A,#N/A,FALSE,"포장단가"}</definedName>
    <definedName name="간지" hidden="1">{#N/A,#N/A,FALSE,"포장단가"}</definedName>
    <definedName name="간지2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2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간지2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감가상각비권역별" localSheetId="24" hidden="1">{#N/A,#N/A,FALSE,"포장단가"}</definedName>
    <definedName name="감가상각비권역별" localSheetId="49" hidden="1">{#N/A,#N/A,FALSE,"포장단가"}</definedName>
    <definedName name="감가상각비권역별" hidden="1">{#N/A,#N/A,FALSE,"포장단가"}</definedName>
    <definedName name="강산개발" localSheetId="24" hidden="1">{#N/A,#N/A,FALSE,"포장1";#N/A,#N/A,FALSE,"포장1"}</definedName>
    <definedName name="강산개발" localSheetId="49" hidden="1">{#N/A,#N/A,FALSE,"포장1";#N/A,#N/A,FALSE,"포장1"}</definedName>
    <definedName name="강산개발" hidden="1">{#N/A,#N/A,FALSE,"포장1";#N/A,#N/A,FALSE,"포장1"}</definedName>
    <definedName name="강아지" localSheetId="24" hidden="1">#REF!</definedName>
    <definedName name="강아지" hidden="1">#REF!</definedName>
    <definedName name="걀" localSheetId="24" hidden="1">{#N/A,#N/A,FALSE,"포장단가"}</definedName>
    <definedName name="걀" localSheetId="49" hidden="1">{#N/A,#N/A,FALSE,"포장단가"}</definedName>
    <definedName name="걀" hidden="1">{#N/A,#N/A,FALSE,"포장단가"}</definedName>
    <definedName name="거ㅏ" hidden="1">[16]수량산출!$A$3:$H$8539</definedName>
    <definedName name="건축" localSheetId="24" hidden="1">{#N/A,#N/A,TRUE,"토적및재료집계";#N/A,#N/A,TRUE,"토적및재료집계";#N/A,#N/A,TRUE,"단위량"}</definedName>
    <definedName name="건축" localSheetId="49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결과과과" localSheetId="24" hidden="1">{#N/A,#N/A,FALSE,"전열산출서"}</definedName>
    <definedName name="결과과과" localSheetId="49" hidden="1">{#N/A,#N/A,FALSE,"전열산출서"}</definedName>
    <definedName name="결과과과" hidden="1">{#N/A,#N/A,FALSE,"전열산출서"}</definedName>
    <definedName name="결재" localSheetId="24" hidden="1">{#N/A,#N/A,FALSE,"포장단가"}</definedName>
    <definedName name="결재" localSheetId="49" hidden="1">{#N/A,#N/A,FALSE,"포장단가"}</definedName>
    <definedName name="결재" hidden="1">{#N/A,#N/A,FALSE,"포장단가"}</definedName>
    <definedName name="經費" localSheetId="5">#REF!</definedName>
    <definedName name="經費" localSheetId="24">#REF!</definedName>
    <definedName name="經費" localSheetId="49">#REF!</definedName>
    <definedName name="經費" localSheetId="48">#REF!</definedName>
    <definedName name="經費">#REF!</definedName>
    <definedName name="경운기" localSheetId="24" hidden="1">{#N/A,#N/A,FALSE,"포장단가"}</definedName>
    <definedName name="경운기" localSheetId="49" hidden="1">{#N/A,#N/A,FALSE,"포장단가"}</definedName>
    <definedName name="경운기" hidden="1">{#N/A,#N/A,FALSE,"포장단가"}</definedName>
    <definedName name="계전2" localSheetId="24" hidden="1">#REF!</definedName>
    <definedName name="계전2" hidden="1">#REF!</definedName>
    <definedName name="계측기기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24" hidden="1">{#N/A,#N/A,FALSE,"조골재"}</definedName>
    <definedName name="고" localSheetId="49" hidden="1">{#N/A,#N/A,FALSE,"조골재"}</definedName>
    <definedName name="고" hidden="1">{#N/A,#N/A,FALSE,"조골재"}</definedName>
    <definedName name="공공도서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원가계산서" localSheetId="24" hidden="1">{#N/A,#N/A,TRUE,"토적및재료집계";#N/A,#N/A,TRUE,"토적및재료집계";#N/A,#N/A,TRUE,"단위량"}</definedName>
    <definedName name="공사원가계산서" localSheetId="49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종간지" localSheetId="24" hidden="1">[17]수량집계!#REF!</definedName>
    <definedName name="공종간지" hidden="1">[17]수량집계!#REF!</definedName>
    <definedName name="관리비작성기준" localSheetId="24" hidden="1">#REF!</definedName>
    <definedName name="관리비작성기준" hidden="1">#REF!</definedName>
    <definedName name="교각" localSheetId="24" hidden="1">#REF!</definedName>
    <definedName name="교각" hidden="1">#REF!</definedName>
    <definedName name="기" localSheetId="5">#REF!</definedName>
    <definedName name="기" localSheetId="24">[18]경산!#REF!</definedName>
    <definedName name="기" localSheetId="49">[18]경산!#REF!</definedName>
    <definedName name="기" localSheetId="48">[18]경산!#REF!</definedName>
    <definedName name="기" localSheetId="7">#REF!</definedName>
    <definedName name="기">#REF!</definedName>
    <definedName name="기술3" localSheetId="24" hidden="1">{#N/A,#N/A,TRUE,"손익보고"}</definedName>
    <definedName name="기술3" localSheetId="49" hidden="1">{#N/A,#N/A,TRUE,"손익보고"}</definedName>
    <definedName name="기술3" hidden="1">{#N/A,#N/A,TRUE,"손익보고"}</definedName>
    <definedName name="기타경비" localSheetId="24" hidden="1">{#N/A,#N/A,FALSE,"전열산출서"}</definedName>
    <definedName name="기타경비" localSheetId="49" hidden="1">{#N/A,#N/A,FALSE,"전열산출서"}</definedName>
    <definedName name="기타경비" hidden="1">{#N/A,#N/A,FALSE,"전열산출서"}</definedName>
    <definedName name="기타경비1" localSheetId="24" hidden="1">{#N/A,#N/A,TRUE,"토적및재료집계";#N/A,#N/A,TRUE,"토적및재료집계";#N/A,#N/A,TRUE,"단위량"}</definedName>
    <definedName name="기타경비1" localSheetId="49" hidden="1">{#N/A,#N/A,TRUE,"토적및재료집계";#N/A,#N/A,TRUE,"토적및재료집계";#N/A,#N/A,TRUE,"단위량"}</definedName>
    <definedName name="기타경비1" hidden="1">{#N/A,#N/A,TRUE,"토적및재료집계";#N/A,#N/A,TRUE,"토적및재료집계";#N/A,#N/A,TRUE,"단위량"}</definedName>
    <definedName name="김" localSheetId="24" hidden="1">[12]대비!#REF!</definedName>
    <definedName name="김" hidden="1">[12]대비!#REF!</definedName>
    <definedName name="김상돈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상돈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상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깬잡석" localSheetId="24" hidden="1">{#N/A,#N/A,FALSE,"포장단가"}</definedName>
    <definedName name="깬잡석" localSheetId="49" hidden="1">{#N/A,#N/A,FALSE,"포장단가"}</definedName>
    <definedName name="깬잡석" hidden="1">{#N/A,#N/A,FALSE,"포장단가"}</definedName>
    <definedName name="ㄴㄱㄹ" localSheetId="24" hidden="1">#REF!</definedName>
    <definedName name="ㄴㄱㄹ" hidden="1">#REF!</definedName>
    <definedName name="ㄴㄴㄴ" localSheetId="24" hidden="1">#REF!</definedName>
    <definedName name="ㄴㄴㄴ" hidden="1">#REF!</definedName>
    <definedName name="ㄴㄴㄴㄴ" localSheetId="24" hidden="1">#REF!</definedName>
    <definedName name="ㄴㄴㄴㄴ" hidden="1">#REF!</definedName>
    <definedName name="ㄴㄴㄴㄴㄴ" localSheetId="24" hidden="1">#REF!</definedName>
    <definedName name="ㄴㄴㄴㄴㄴ" hidden="1">#REF!</definedName>
    <definedName name="ㄴㅁ" localSheetId="24" hidden="1">{#N/A,#N/A,TRUE,"토적및재료집계";#N/A,#N/A,TRUE,"토적및재료집계";#N/A,#N/A,TRUE,"단위량"}</definedName>
    <definedName name="ㄴㅁ" localSheetId="49" hidden="1">{#N/A,#N/A,TRUE,"토적및재료집계";#N/A,#N/A,TRUE,"토적및재료집계";#N/A,#N/A,TRUE,"단위량"}</definedName>
    <definedName name="ㄴㅁ" hidden="1">{#N/A,#N/A,TRUE,"토적및재료집계";#N/A,#N/A,TRUE,"토적및재료집계";#N/A,#N/A,TRUE,"단위량"}</definedName>
    <definedName name="ㄴㅁㅇㅁㄴ" localSheetId="24" hidden="1">#REF!</definedName>
    <definedName name="ㄴㅁㅇㅁㄴ" hidden="1">#REF!</definedName>
    <definedName name="ㄴㅇㄹ" localSheetId="24" hidden="1">{#N/A,#N/A,FALSE,"전열산출서"}</definedName>
    <definedName name="ㄴㅇㄹ" localSheetId="49" hidden="1">{#N/A,#N/A,FALSE,"전열산출서"}</definedName>
    <definedName name="ㄴㅇㄹ" hidden="1">{#N/A,#N/A,FALSE,"전열산출서"}</definedName>
    <definedName name="ㄴㅇㅁㄴㅇ" localSheetId="24" hidden="1">{#N/A,#N/A,TRUE,"토적및재료집계";#N/A,#N/A,TRUE,"토적및재료집계";#N/A,#N/A,TRUE,"단위량"}</definedName>
    <definedName name="ㄴㅇㅁㄴㅇ" localSheetId="49" hidden="1">{#N/A,#N/A,TRUE,"토적및재료집계";#N/A,#N/A,TRUE,"토적및재료집계";#N/A,#N/A,TRUE,"단위량"}</definedName>
    <definedName name="ㄴㅇㅁㄴㅇ" hidden="1">{#N/A,#N/A,TRUE,"토적및재료집계";#N/A,#N/A,TRUE,"토적및재료집계";#N/A,#N/A,TRUE,"단위량"}</definedName>
    <definedName name="ㄴㅇㅎㄴㅇ" localSheetId="24" hidden="1">#REF!</definedName>
    <definedName name="ㄴㅇㅎㄴㅇ" hidden="1">#REF!</definedName>
    <definedName name="나ㅏㅓㄹ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24" hidden="1">[8]Sheet1!#REF!</definedName>
    <definedName name="남남" hidden="1">[8]Sheet1!#REF!</definedName>
    <definedName name="내장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勞務費" localSheetId="5">#REF!</definedName>
    <definedName name="勞務費" localSheetId="24">#REF!</definedName>
    <definedName name="勞務費" localSheetId="49">#REF!</definedName>
    <definedName name="勞務費" localSheetId="48">#REF!</definedName>
    <definedName name="勞務費">#REF!</definedName>
    <definedName name="노원문화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24" hidden="1">{#N/A,#N/A,TRUE,"토적및재료집계";#N/A,#N/A,TRUE,"토적및재료집계";#N/A,#N/A,TRUE,"단위량"}</definedName>
    <definedName name="ㄷ" localSheetId="49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ㄷㄱㄷ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ㄱㄷ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ㄱ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ㄱㄷㅈ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ㄱㄷㅈ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ㄱㄷ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ㄷ" localSheetId="24" hidden="1">#REF!</definedName>
    <definedName name="ㄷㄷ" hidden="1">#REF!</definedName>
    <definedName name="ㄷㄷㄷㄷㄷㄷㄷㄷ" localSheetId="24" hidden="1">{#N/A,#N/A,FALSE,"현장 NCR 분석";#N/A,#N/A,FALSE,"현장품질감사";#N/A,#N/A,FALSE,"현장품질감사"}</definedName>
    <definedName name="ㄷㄷㄷㄷㄷㄷㄷㄷ" localSheetId="49" hidden="1">{#N/A,#N/A,FALSE,"현장 NCR 분석";#N/A,#N/A,FALSE,"현장품질감사";#N/A,#N/A,FALSE,"현장품질감사"}</definedName>
    <definedName name="ㄷㄷㄷㄷㄷㄷㄷㄷ" hidden="1">{#N/A,#N/A,FALSE,"현장 NCR 분석";#N/A,#N/A,FALSE,"현장품질감사";#N/A,#N/A,FALSE,"현장품질감사"}</definedName>
    <definedName name="ㄷㅅㄱㄷ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ㅅㄱㄷ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ㅅㄱㄷ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ㄷ숃ㄱ" localSheetId="24" hidden="1">#REF!</definedName>
    <definedName name="ㄷ숃ㄱ" hidden="1">#REF!</definedName>
    <definedName name="다라" localSheetId="24" hidden="1">{#N/A,#N/A,FALSE,"표지목차"}</definedName>
    <definedName name="다라" localSheetId="49" hidden="1">{#N/A,#N/A,FALSE,"표지목차"}</definedName>
    <definedName name="다라" hidden="1">{#N/A,#N/A,FALSE,"표지목차"}</definedName>
    <definedName name="다히" localSheetId="24" hidden="1">#REF!</definedName>
    <definedName name="다히" hidden="1">#REF!</definedName>
    <definedName name="단ㄱ" localSheetId="24" hidden="1">{#N/A,#N/A,FALSE,"전력간선"}</definedName>
    <definedName name="단ㄱ" localSheetId="49" hidden="1">{#N/A,#N/A,FALSE,"전력간선"}</definedName>
    <definedName name="단ㄱ" hidden="1">{#N/A,#N/A,FALSE,"전력간선"}</definedName>
    <definedName name="단가산출서2" localSheetId="24" hidden="1">{#N/A,#N/A,FALSE,"포장단가"}</definedName>
    <definedName name="단가산출서2" localSheetId="49" hidden="1">{#N/A,#N/A,FALSE,"포장단가"}</definedName>
    <definedName name="단가산출서2" hidden="1">{#N/A,#N/A,FALSE,"포장단가"}</definedName>
    <definedName name="단가조사자료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인상" hidden="1">[19]수지예산!$O$59:$O$59</definedName>
    <definedName name="대구공항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" localSheetId="24" hidden="1">{#N/A,#N/A,FALSE,"전열산출서"}</definedName>
    <definedName name="대비" localSheetId="49" hidden="1">{#N/A,#N/A,FALSE,"전열산출서"}</definedName>
    <definedName name="대비" hidden="1">{#N/A,#N/A,FALSE,"전열산출서"}</definedName>
    <definedName name="도급" localSheetId="24" hidden="1">{#N/A,#N/A,FALSE,"구조2"}</definedName>
    <definedName name="도급" localSheetId="49" hidden="1">{#N/A,#N/A,FALSE,"구조2"}</definedName>
    <definedName name="도급" hidden="1">{#N/A,#N/A,FALSE,"구조2"}</definedName>
    <definedName name="도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등락폭산정표" localSheetId="24" hidden="1">{#N/A,#N/A,FALSE,"포장단가"}</definedName>
    <definedName name="등락폭산정표" localSheetId="49" hidden="1">{#N/A,#N/A,FALSE,"포장단가"}</definedName>
    <definedName name="등락폭산정표" hidden="1">{#N/A,#N/A,FALSE,"포장단가"}</definedName>
    <definedName name="ㄹㄴㅇㄹㄴㅇ" localSheetId="24" hidden="1">{#N/A,#N/A,FALSE,"전열산출서"}</definedName>
    <definedName name="ㄹㄴㅇㄹㄴㅇ" localSheetId="49" hidden="1">{#N/A,#N/A,FALSE,"전열산출서"}</definedName>
    <definedName name="ㄹㄴㅇㄹㄴㅇ" hidden="1">{#N/A,#N/A,FALSE,"전열산출서"}</definedName>
    <definedName name="ㄹㄹ" localSheetId="24" hidden="1">{"'단계별시설공사비'!$A$3:$K$51"}</definedName>
    <definedName name="ㄹㄹ" localSheetId="49" hidden="1">{"'단계별시설공사비'!$A$3:$K$51"}</definedName>
    <definedName name="ㄹㄹ" hidden="1">{"'단계별시설공사비'!$A$3:$K$51"}</definedName>
    <definedName name="ㄹㄹㄹ" localSheetId="24" hidden="1">{#N/A,#N/A,FALSE,"현장 NCR 분석";#N/A,#N/A,FALSE,"현장품질감사";#N/A,#N/A,FALSE,"현장품질감사"}</definedName>
    <definedName name="ㄹㄹㄹ" localSheetId="49" hidden="1">{#N/A,#N/A,FALSE,"현장 NCR 분석";#N/A,#N/A,FALSE,"현장품질감사";#N/A,#N/A,FALSE,"현장품질감사"}</definedName>
    <definedName name="ㄹㄹㄹ" hidden="1">{#N/A,#N/A,FALSE,"현장 NCR 분석";#N/A,#N/A,FALSE,"현장품질감사";#N/A,#N/A,FALSE,"현장품질감사"}</definedName>
    <definedName name="ㄹㄹㅇㄴㄴ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ㄶ" localSheetId="24" hidden="1">#REF!</definedName>
    <definedName name="ㄹㅇㄶ" hidden="1">#REF!</definedName>
    <definedName name="ㄹㅇㄶ옿" localSheetId="24" hidden="1">#REF!</definedName>
    <definedName name="ㄹㅇㄶ옿" hidden="1">#REF!</definedName>
    <definedName name="ㄹㅇㄹㅇ" localSheetId="24" hidden="1">#REF!</definedName>
    <definedName name="ㄹㅇㄹㅇ" hidden="1">#REF!</definedName>
    <definedName name="ㄹㅈ" localSheetId="24" hidden="1">#REF!</definedName>
    <definedName name="ㄹㅈ" hidden="1">#REF!</definedName>
    <definedName name="ㄹ호" localSheetId="24" hidden="1">#REF!</definedName>
    <definedName name="ㄹ호" hidden="1">#REF!</definedName>
    <definedName name="라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드" localSheetId="24" hidden="1">{#N/A,#N/A,FALSE,"현장 NCR 분석";#N/A,#N/A,FALSE,"현장품질감사";#N/A,#N/A,FALSE,"현장품질감사"}</definedName>
    <definedName name="로드" localSheetId="49" hidden="1">{#N/A,#N/A,FALSE,"현장 NCR 분석";#N/A,#N/A,FALSE,"현장품질감사";#N/A,#N/A,FALSE,"현장품질감사"}</definedName>
    <definedName name="로드" hidden="1">{#N/A,#N/A,FALSE,"현장 NCR 분석";#N/A,#N/A,FALSE,"현장품질감사";#N/A,#N/A,FALSE,"현장품질감사"}</definedName>
    <definedName name="로얄계약" localSheetId="24" hidden="1">{#N/A,#N/A,FALSE,"현장 NCR 분석";#N/A,#N/A,FALSE,"현장품질감사";#N/A,#N/A,FALSE,"현장품질감사"}</definedName>
    <definedName name="로얄계약" localSheetId="49" hidden="1">{#N/A,#N/A,FALSE,"현장 NCR 분석";#N/A,#N/A,FALSE,"현장품질감사";#N/A,#N/A,FALSE,"현장품질감사"}</definedName>
    <definedName name="로얄계약" hidden="1">{#N/A,#N/A,FALSE,"현장 NCR 분석";#N/A,#N/A,FALSE,"현장품질감사";#N/A,#N/A,FALSE,"현장품질감사"}</definedName>
    <definedName name="ㅀ" localSheetId="24" hidden="1">{#N/A,#N/A,TRUE,"토적및재료집계";#N/A,#N/A,TRUE,"토적및재료집계";#N/A,#N/A,TRUE,"단위량"}</definedName>
    <definedName name="ㅀ" localSheetId="49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오ㅓㅎ롱ㄶㄹㄴ" localSheetId="24" hidden="1">{#N/A,#N/A,FALSE,"2~8번"}</definedName>
    <definedName name="ㅀ오ㅓㅎ롱ㄶㄹㄴ" localSheetId="49" hidden="1">{#N/A,#N/A,FALSE,"2~8번"}</definedName>
    <definedName name="ㅀ오ㅓㅎ롱ㄶㄹㄴ" hidden="1">{#N/A,#N/A,FALSE,"2~8번"}</definedName>
    <definedName name="ㅁ" localSheetId="5">#REF!</definedName>
    <definedName name="ㅁ" localSheetId="24" hidden="1">#REF!</definedName>
    <definedName name="ㅁ" localSheetId="7">#REF!</definedName>
    <definedName name="ㅁ">#REF!</definedName>
    <definedName name="ㅁ1" localSheetId="5">#REF!</definedName>
    <definedName name="ㅁ1" localSheetId="24">[20]경산!#REF!</definedName>
    <definedName name="ㅁ1" localSheetId="49">[20]경산!#REF!</definedName>
    <definedName name="ㅁ1" localSheetId="48">[20]경산!#REF!</definedName>
    <definedName name="ㅁ1" localSheetId="7">#REF!</definedName>
    <definedName name="ㅁ1">#REF!</definedName>
    <definedName name="ㅁ384K5" localSheetId="5">#REF!</definedName>
    <definedName name="ㅁ384K5" localSheetId="24">[1]건축!#REF!</definedName>
    <definedName name="ㅁ384K5" localSheetId="49">[1]건축!#REF!</definedName>
    <definedName name="ㅁ384K5" localSheetId="48">[1]건축!#REF!</definedName>
    <definedName name="ㅁ384K5" localSheetId="7">#REF!</definedName>
    <definedName name="ㅁ384K5">#REF!</definedName>
    <definedName name="ㅁ60" localSheetId="5">#REF!</definedName>
    <definedName name="ㅁ60" localSheetId="24">[21]직노!#REF!</definedName>
    <definedName name="ㅁ60" localSheetId="49">[21]직노!#REF!</definedName>
    <definedName name="ㅁ60" localSheetId="48">[21]직노!#REF!</definedName>
    <definedName name="ㅁ60" localSheetId="7">#REF!</definedName>
    <definedName name="ㅁ60">#REF!</definedName>
    <definedName name="ㅁㄴ" localSheetId="24" hidden="1">#REF!</definedName>
    <definedName name="ㅁㄴ" hidden="1">#REF!</definedName>
    <definedName name="ㅁㄴㅁㄴ" localSheetId="24" hidden="1">{#N/A,#N/A,FALSE,"현장 NCR 분석";#N/A,#N/A,FALSE,"현장품질감사";#N/A,#N/A,FALSE,"현장품질감사"}</definedName>
    <definedName name="ㅁㄴㅁㄴ" localSheetId="49" hidden="1">{#N/A,#N/A,FALSE,"현장 NCR 분석";#N/A,#N/A,FALSE,"현장품질감사";#N/A,#N/A,FALSE,"현장품질감사"}</definedName>
    <definedName name="ㅁㄴㅁㄴ" hidden="1">{#N/A,#N/A,FALSE,"현장 NCR 분석";#N/A,#N/A,FALSE,"현장품질감사";#N/A,#N/A,FALSE,"현장품질감사"}</definedName>
    <definedName name="ㅁㄴㅇㄴ" localSheetId="24" hidden="1">{#N/A,#N/A,TRUE,"토적및재료집계";#N/A,#N/A,TRUE,"토적및재료집계";#N/A,#N/A,TRUE,"단위량"}</definedName>
    <definedName name="ㅁㄴㅇㄴ" localSheetId="49" hidden="1">{#N/A,#N/A,TRUE,"토적및재료집계";#N/A,#N/A,TRUE,"토적및재료집계";#N/A,#N/A,TRUE,"단위량"}</definedName>
    <definedName name="ㅁㄴㅇㄴ" hidden="1">{#N/A,#N/A,TRUE,"토적및재료집계";#N/A,#N/A,TRUE,"토적및재료집계";#N/A,#N/A,TRUE,"단위량"}</definedName>
    <definedName name="ㅁㅁ" localSheetId="24" hidden="1">#REF!</definedName>
    <definedName name="ㅁㅁ" hidden="1">#REF!</definedName>
    <definedName name="ㅁㅁㅁ" localSheetId="24" hidden="1">#REF!</definedName>
    <definedName name="ㅁㅁㅁ" hidden="1">#REF!</definedName>
    <definedName name="ㅁㅁㅁㅁㅁㅁ" localSheetId="24" hidden="1">#REF!</definedName>
    <definedName name="ㅁㅁㅁㅁㅁㅁ" hidden="1">#REF!</definedName>
    <definedName name="ㅁㅅ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ㅁㅅㅅㅁㄱㅈ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망루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망루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몬" localSheetId="24" hidden="1">{#N/A,#N/A,FALSE,"표지목차"}</definedName>
    <definedName name="몬" localSheetId="49" hidden="1">{#N/A,#N/A,FALSE,"표지목차"}</definedName>
    <definedName name="몬" hidden="1">{#N/A,#N/A,FALSE,"표지목차"}</definedName>
    <definedName name="몰라" localSheetId="24" hidden="1">{#N/A,#N/A,FALSE,"단가표지"}</definedName>
    <definedName name="몰라" localSheetId="49" hidden="1">{#N/A,#N/A,FALSE,"단가표지"}</definedName>
    <definedName name="몰라" hidden="1">{#N/A,#N/A,FALSE,"단가표지"}</definedName>
    <definedName name="물가변동내역서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localSheetId="24" hidden="1">{#N/A,#N/A,TRUE,"토적및재료집계";#N/A,#N/A,TRUE,"토적및재료집계";#N/A,#N/A,TRUE,"단위량"}</definedName>
    <definedName name="ㅂ" localSheetId="49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ㄱ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ㄱ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" localSheetId="24" hidden="1">{#N/A,#N/A,FALSE,"표지"}</definedName>
    <definedName name="ㅂㅂ" localSheetId="49" hidden="1">{#N/A,#N/A,FALSE,"표지"}</definedName>
    <definedName name="ㅂㅂ" hidden="1">{#N/A,#N/A,FALSE,"표지"}</definedName>
    <definedName name="ㅂㅂㅂ" localSheetId="5">#REF!</definedName>
    <definedName name="ㅂㅂㅂ" localSheetId="24">[22]직노!#REF!</definedName>
    <definedName name="ㅂㅂㅂ" localSheetId="49">[22]직노!#REF!</definedName>
    <definedName name="ㅂㅂㅂ" localSheetId="48">[22]직노!#REF!</definedName>
    <definedName name="ㅂㅂㅂ" localSheetId="7">#REF!</definedName>
    <definedName name="ㅂㅂㅂ">#REF!</definedName>
    <definedName name="ㅂㅂㅂㅂ" localSheetId="24" hidden="1">{#N/A,#N/A,FALSE,"현장 NCR 분석";#N/A,#N/A,FALSE,"현장품질감사";#N/A,#N/A,FALSE,"현장품질감사"}</definedName>
    <definedName name="ㅂㅂㅂㅂ" localSheetId="49" hidden="1">{#N/A,#N/A,FALSE,"현장 NCR 분석";#N/A,#N/A,FALSE,"현장품질감사";#N/A,#N/A,FALSE,"현장품질감사"}</definedName>
    <definedName name="ㅂㅂㅂㅂ" hidden="1">{#N/A,#N/A,FALSE,"현장 NCR 분석";#N/A,#N/A,FALSE,"현장품질감사";#N/A,#N/A,FALSE,"현장품질감사"}</definedName>
    <definedName name="ㅂㅈ" localSheetId="24" hidden="1">{#N/A,#N/A,TRUE,"1";#N/A,#N/A,TRUE,"2";#N/A,#N/A,TRUE,"3";#N/A,#N/A,TRUE,"4";#N/A,#N/A,TRUE,"5";#N/A,#N/A,TRUE,"6";#N/A,#N/A,TRUE,"7"}</definedName>
    <definedName name="ㅂㅈ" localSheetId="49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쟈ㅕㅑㅂ1" localSheetId="24" hidden="1">{#N/A,#N/A,FALSE,"배수1"}</definedName>
    <definedName name="ㅂ쟈ㅕㅑㅂ1" localSheetId="49" hidden="1">{#N/A,#N/A,FALSE,"배수1"}</definedName>
    <definedName name="ㅂ쟈ㅕㅑㅂ1" hidden="1">{#N/A,#N/A,FALSE,"배수1"}</definedName>
    <definedName name="바붕" localSheetId="24" hidden="1">{#N/A,#N/A,FALSE,"전력간선"}</definedName>
    <definedName name="바붕" localSheetId="49" hidden="1">{#N/A,#N/A,FALSE,"전력간선"}</definedName>
    <definedName name="바붕" hidden="1">{#N/A,#N/A,FALSE,"전력간선"}</definedName>
    <definedName name="박찬호" localSheetId="24" hidden="1">{#N/A,#N/A,FALSE,"부대2"}</definedName>
    <definedName name="박찬호" localSheetId="49" hidden="1">{#N/A,#N/A,FALSE,"부대2"}</definedName>
    <definedName name="박찬호" hidden="1">{#N/A,#N/A,FALSE,"부대2"}</definedName>
    <definedName name="발주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발주처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발주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배관공수율" localSheetId="24" hidden="1">#REF!</definedName>
    <definedName name="배관공수율" hidden="1">#REF!</definedName>
    <definedName name="보" localSheetId="5">#REF!</definedName>
    <definedName name="보" localSheetId="24">[23]직노!#REF!</definedName>
    <definedName name="보" localSheetId="49">[23]직노!#REF!</definedName>
    <definedName name="보" localSheetId="48">[23]직노!#REF!</definedName>
    <definedName name="보" localSheetId="7">#REF!</definedName>
    <definedName name="보">#REF!</definedName>
    <definedName name="보링" localSheetId="24" hidden="1">{#N/A,#N/A,FALSE,"골재소요량";#N/A,#N/A,FALSE,"골재소요량"}</definedName>
    <definedName name="보링" localSheetId="49" hidden="1">{#N/A,#N/A,FALSE,"골재소요량";#N/A,#N/A,FALSE,"골재소요량"}</definedName>
    <definedName name="보링" hidden="1">{#N/A,#N/A,FALSE,"골재소요량";#N/A,#N/A,FALSE,"골재소요량"}</definedName>
    <definedName name="보오링그라우팅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" localSheetId="24" hidden="1">{#N/A,#N/A,FALSE,"전열산출서"}</definedName>
    <definedName name="복사" localSheetId="49" hidden="1">{#N/A,#N/A,FALSE,"전열산출서"}</definedName>
    <definedName name="복사" hidden="1">{#N/A,#N/A,FALSE,"전열산출서"}</definedName>
    <definedName name="附加價値稅" localSheetId="5">#REF!</definedName>
    <definedName name="附加價値稅" localSheetId="24">#REF!</definedName>
    <definedName name="附加價値稅" localSheetId="49">#REF!</definedName>
    <definedName name="附加價値稅" localSheetId="48">#REF!</definedName>
    <definedName name="附加價値稅">#REF!</definedName>
    <definedName name="부대a" localSheetId="24" hidden="1">{#N/A,#N/A,FALSE,"골재소요량";#N/A,#N/A,FALSE,"골재소요량"}</definedName>
    <definedName name="부대a" localSheetId="49" hidden="1">{#N/A,#N/A,FALSE,"골재소요량";#N/A,#N/A,FALSE,"골재소요량"}</definedName>
    <definedName name="부대a" hidden="1">{#N/A,#N/A,FALSE,"골재소요량";#N/A,#N/A,FALSE,"골재소요량"}</definedName>
    <definedName name="부대구조" localSheetId="24" hidden="1">{#N/A,#N/A,FALSE,"골재소요량";#N/A,#N/A,FALSE,"골재소요량"}</definedName>
    <definedName name="부대구조" localSheetId="49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24" hidden="1">{#N/A,#N/A,FALSE,"단가표지"}</definedName>
    <definedName name="부대방안" localSheetId="49" hidden="1">{#N/A,#N/A,FALSE,"단가표지"}</definedName>
    <definedName name="부대방안" hidden="1">{#N/A,#N/A,FALSE,"단가표지"}</definedName>
    <definedName name="부대원본" localSheetId="24" hidden="1">{#N/A,#N/A,FALSE,"토공2"}</definedName>
    <definedName name="부대원본" localSheetId="49" hidden="1">{#N/A,#N/A,FALSE,"토공2"}</definedName>
    <definedName name="부대원본" hidden="1">{#N/A,#N/A,FALSE,"토공2"}</definedName>
    <definedName name="부산주경기장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24" hidden="1">{#N/A,#N/A,FALSE,"현장 NCR 분석";#N/A,#N/A,FALSE,"현장품질감사";#N/A,#N/A,FALSE,"현장품질감사"}</definedName>
    <definedName name="부손익" localSheetId="49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" localSheetId="24" hidden="1">{#N/A,#N/A,TRUE,"토적및재료집계";#N/A,#N/A,TRUE,"토적및재료집계";#N/A,#N/A,TRUE,"단위량"}</definedName>
    <definedName name="ㅅ" localSheetId="49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ㅅ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ㅎ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ㅅㅎ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사" localSheetId="24" hidden="1">#REF!</definedName>
    <definedName name="사" hidden="1">#REF!</definedName>
    <definedName name="사인" localSheetId="5">#REF!</definedName>
    <definedName name="사인" localSheetId="24">#REF!</definedName>
    <definedName name="사인" localSheetId="49">#REF!</definedName>
    <definedName name="사인" localSheetId="48">#REF!</definedName>
    <definedName name="사인">#REF!</definedName>
    <definedName name="사인원가" localSheetId="24" hidden="1">'[24]#REF'!#REF!</definedName>
    <definedName name="사인원가" hidden="1">'[24]#REF'!#REF!</definedName>
    <definedName name="삼" localSheetId="24" hidden="1">'[24]#REF'!#REF!</definedName>
    <definedName name="삼" hidden="1">'[24]#REF'!#REF!</definedName>
    <definedName name="선아" localSheetId="24" hidden="1">#REF!</definedName>
    <definedName name="선아" hidden="1">#REF!</definedName>
    <definedName name="선아5" localSheetId="24" hidden="1">#REF!</definedName>
    <definedName name="선아5" hidden="1">#REF!</definedName>
    <definedName name="세차안전" localSheetId="24" hidden="1">{#N/A,#N/A,FALSE,"현장 NCR 분석";#N/A,#N/A,FALSE,"현장품질감사";#N/A,#N/A,FALSE,"현장품질감사"}</definedName>
    <definedName name="세차안전" localSheetId="49" hidden="1">{#N/A,#N/A,FALSE,"현장 NCR 분석";#N/A,#N/A,FALSE,"현장품질감사";#N/A,#N/A,FALSE,"현장품질감사"}</definedName>
    <definedName name="세차안전" hidden="1">{#N/A,#N/A,FALSE,"현장 NCR 분석";#N/A,#N/A,FALSE,"현장품질감사";#N/A,#N/A,FALSE,"현장품질감사"}</definedName>
    <definedName name="소운반" localSheetId="24" hidden="1">{#N/A,#N/A,FALSE,"포장단가"}</definedName>
    <definedName name="소운반" localSheetId="49" hidden="1">{#N/A,#N/A,FALSE,"포장단가"}</definedName>
    <definedName name="소운반" hidden="1">{#N/A,#N/A,FALSE,"포장단가"}</definedName>
    <definedName name="수량산출내역" localSheetId="24" hidden="1">{#N/A,#N/A,FALSE,"포장단가"}</definedName>
    <definedName name="수량산출내역" localSheetId="49" hidden="1">{#N/A,#N/A,FALSE,"포장단가"}</definedName>
    <definedName name="수량산출내역" hidden="1">{#N/A,#N/A,FALSE,"포장단가"}</definedName>
    <definedName name="수량집계" localSheetId="24" hidden="1">{#N/A,#N/A,FALSE,"포장단가"}</definedName>
    <definedName name="수량집계" localSheetId="49" hidden="1">{#N/A,#N/A,FALSE,"포장단가"}</definedName>
    <definedName name="수량집계" hidden="1">{#N/A,#N/A,FALSE,"포장단가"}</definedName>
    <definedName name="수재상세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재상세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수재상세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순공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純工事原價" localSheetId="5">#REF!</definedName>
    <definedName name="純工事原價" localSheetId="24">#REF!</definedName>
    <definedName name="純工事原價" localSheetId="49">#REF!</definedName>
    <definedName name="純工事原價" localSheetId="48">#REF!</definedName>
    <definedName name="純工事原價">#REF!</definedName>
    <definedName name="시공계획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계획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공계획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시멘트운반" localSheetId="24" hidden="1">{#N/A,#N/A,FALSE,"포장단가"}</definedName>
    <definedName name="시멘트운반" localSheetId="49" hidden="1">{#N/A,#N/A,FALSE,"포장단가"}</definedName>
    <definedName name="시멘트운반" hidden="1">{#N/A,#N/A,FALSE,"포장단가"}</definedName>
    <definedName name="신규포장" localSheetId="24" hidden="1">{#N/A,#N/A,FALSE,"포장단가"}</definedName>
    <definedName name="신규포장" localSheetId="49" hidden="1">{#N/A,#N/A,FALSE,"포장단가"}</definedName>
    <definedName name="신규포장" hidden="1">{#N/A,#N/A,FALSE,"포장단가"}</definedName>
    <definedName name="ㅆ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ㅆ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" localSheetId="24" hidden="1">#REF!</definedName>
    <definedName name="ㅇ" hidden="1">#REF!</definedName>
    <definedName name="ㅇㄱ셔ㅓㅀ" localSheetId="24" hidden="1">#REF!</definedName>
    <definedName name="ㅇㄱ셔ㅓㅀ" hidden="1">#REF!</definedName>
    <definedName name="ㅇㄴㄹㅈㄷㄹ" localSheetId="24" hidden="1">#REF!</definedName>
    <definedName name="ㅇㄴㄹㅈㄷㄹ" hidden="1">#REF!</definedName>
    <definedName name="ㅇㄴㅁ" hidden="1">[25]실행철강하도!$A$1:$A$4</definedName>
    <definedName name="ㅇㄹ" hidden="1">'[12]#REF'!$C$1:$H$533</definedName>
    <definedName name="ㅇㄹㅇㄹ" localSheetId="24" hidden="1">#REF!</definedName>
    <definedName name="ㅇㄹㅇㄹ" hidden="1">#REF!</definedName>
    <definedName name="ㅇ라ㅓㅏㅗㄹ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샤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ㅇㅇㄹ" localSheetId="24" hidden="1">#REF!</definedName>
    <definedName name="ㅇㅇㄹ" hidden="1">#REF!</definedName>
    <definedName name="ㅇㅇㅂ" localSheetId="24" hidden="1">{#N/A,#N/A,FALSE,"현장 NCR 분석";#N/A,#N/A,FALSE,"현장품질감사";#N/A,#N/A,FALSE,"현장품질감사"}</definedName>
    <definedName name="ㅇㅇㅂ" localSheetId="49" hidden="1">{#N/A,#N/A,FALSE,"현장 NCR 분석";#N/A,#N/A,FALSE,"현장품질감사";#N/A,#N/A,FALSE,"현장품질감사"}</definedName>
    <definedName name="ㅇㅇㅂ" hidden="1">{#N/A,#N/A,FALSE,"현장 NCR 분석";#N/A,#N/A,FALSE,"현장품질감사";#N/A,#N/A,FALSE,"현장품질감사"}</definedName>
    <definedName name="ㅇㅇㅇ" localSheetId="24" hidden="1">{#N/A,#N/A,FALSE,"운반시간"}</definedName>
    <definedName name="ㅇㅇㅇ" localSheetId="49" hidden="1">{#N/A,#N/A,FALSE,"운반시간"}</definedName>
    <definedName name="ㅇㅇㅇ" hidden="1">{#N/A,#N/A,FALSE,"운반시간"}</definedName>
    <definedName name="ㅇㅇㅇㅇ" localSheetId="24" hidden="1">{#N/A,#N/A,FALSE,"전력간선"}</definedName>
    <definedName name="ㅇㅇㅇㅇ" localSheetId="49" hidden="1">{#N/A,#N/A,FALSE,"전력간선"}</definedName>
    <definedName name="ㅇㅇㅇㅇ" hidden="1">{#N/A,#N/A,FALSE,"전력간선"}</definedName>
    <definedName name="아" localSheetId="24" hidden="1">[26]CABLE!#REF!</definedName>
    <definedName name="아" hidden="1">[26]CABLE!#REF!</definedName>
    <definedName name="아냐" localSheetId="24" hidden="1">{#N/A,#N/A,FALSE,"전열산출서"}</definedName>
    <definedName name="아냐" localSheetId="49" hidden="1">{#N/A,#N/A,FALSE,"전열산출서"}</definedName>
    <definedName name="아냐" hidden="1">{#N/A,#N/A,FALSE,"전열산출서"}</definedName>
    <definedName name="아ㅏㅓ랜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어ㅓㅓ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24" hidden="1">{#N/A,#N/A,FALSE,"2~8번"}</definedName>
    <definedName name="억이상" localSheetId="49" hidden="1">{#N/A,#N/A,FALSE,"2~8번"}</definedName>
    <definedName name="억이상" hidden="1">{#N/A,#N/A,FALSE,"2~8번"}</definedName>
    <definedName name="업체" localSheetId="24" hidden="1">#REF!</definedName>
    <definedName name="업체" hidden="1">#REF!</definedName>
    <definedName name="열요금" localSheetId="24" hidden="1">{#N/A,#N/A,FALSE,"전열산출서"}</definedName>
    <definedName name="열요금" localSheetId="49" hidden="1">{#N/A,#N/A,FALSE,"전열산출서"}</definedName>
    <definedName name="열요금" hidden="1">{#N/A,#N/A,FALSE,"전열산출서"}</definedName>
    <definedName name="염색기술3" localSheetId="24" hidden="1">{#N/A,#N/A,TRUE,"손익보고"}</definedName>
    <definedName name="염색기술3" localSheetId="49" hidden="1">{#N/A,#N/A,TRUE,"손익보고"}</definedName>
    <definedName name="염색기술3" hidden="1">{#N/A,#N/A,TRUE,"손익보고"}</definedName>
    <definedName name="영시스템" localSheetId="24" hidden="1">[27]수량산출!#REF!</definedName>
    <definedName name="영시스템" hidden="1">[27]수량산출!#REF!</definedName>
    <definedName name="영암실행" localSheetId="24" hidden="1">{#N/A,#N/A,FALSE,"전력간선"}</definedName>
    <definedName name="영암실행" localSheetId="49" hidden="1">{#N/A,#N/A,FALSE,"전력간선"}</definedName>
    <definedName name="영암실행" hidden="1">{#N/A,#N/A,FALSE,"전력간선"}</definedName>
    <definedName name="예산" localSheetId="24" hidden="1">{#N/A,#N/A,TRUE,"손익보고"}</definedName>
    <definedName name="예산" localSheetId="49" hidden="1">{#N/A,#N/A,TRUE,"손익보고"}</definedName>
    <definedName name="예산" hidden="1">{#N/A,#N/A,TRUE,"손익보고"}</definedName>
    <definedName name="오" hidden="1">[13]실행철강하도!$A$1:$A$4</definedName>
    <definedName name="옥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24" hidden="1">#REF!</definedName>
    <definedName name="완공3" hidden="1">#REF!</definedName>
    <definedName name="외자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외자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외자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외자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외자재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외자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용동교" localSheetId="24" hidden="1">{#N/A,#N/A,FALSE,"배수1"}</definedName>
    <definedName name="용동교" localSheetId="49" hidden="1">{#N/A,#N/A,FALSE,"배수1"}</definedName>
    <definedName name="용동교" hidden="1">{#N/A,#N/A,FALSE,"배수1"}</definedName>
    <definedName name="원가" localSheetId="24" hidden="1">{#N/A,#N/A,FALSE,"운반시간"}</definedName>
    <definedName name="원가" localSheetId="49" hidden="1">{#N/A,#N/A,FALSE,"운반시간"}</definedName>
    <definedName name="원가" hidden="1">{#N/A,#N/A,FALSE,"운반시간"}</definedName>
    <definedName name="원가계간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내역" localSheetId="24" hidden="1">#REF!</definedName>
    <definedName name="원가내역" hidden="1">#REF!</definedName>
    <definedName name="원각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[28]실행철강하도!$A$1:$A$4</definedName>
    <definedName name="의" localSheetId="24" hidden="1">{#N/A,#N/A,FALSE,"운반시간"}</definedName>
    <definedName name="의" localSheetId="49" hidden="1">{#N/A,#N/A,FALSE,"운반시간"}</definedName>
    <definedName name="의" hidden="1">{#N/A,#N/A,FALSE,"운반시간"}</definedName>
    <definedName name="이" localSheetId="24" hidden="1">{#N/A,#N/A,FALSE,"전열산출서"}</definedName>
    <definedName name="이" localSheetId="49" hidden="1">{#N/A,#N/A,FALSE,"전열산출서"}</definedName>
    <definedName name="이" hidden="1">{#N/A,#N/A,FALSE,"전열산출서"}</definedName>
    <definedName name="利潤" localSheetId="5">#REF!</definedName>
    <definedName name="利潤" localSheetId="24">#REF!</definedName>
    <definedName name="利潤" localSheetId="49">#REF!</definedName>
    <definedName name="利潤" localSheetId="48">#REF!</definedName>
    <definedName name="利潤">#REF!</definedName>
    <definedName name="이이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잉" localSheetId="24" hidden="1">{#N/A,#N/A,FALSE,"전열산출서"}</definedName>
    <definedName name="이이잉" localSheetId="49" hidden="1">{#N/A,#N/A,FALSE,"전열산출서"}</definedName>
    <definedName name="이이잉" hidden="1">{#N/A,#N/A,FALSE,"전열산출서"}</definedName>
    <definedName name="이정" localSheetId="24" hidden="1">{#N/A,#N/A,FALSE,"2~8번"}</definedName>
    <definedName name="이정" localSheetId="49" hidden="1">{#N/A,#N/A,FALSE,"2~8번"}</definedName>
    <definedName name="이정" hidden="1">{#N/A,#N/A,FALSE,"2~8번"}</definedName>
    <definedName name="이종구" localSheetId="24" hidden="1">{#N/A,#N/A,FALSE,"배수1"}</definedName>
    <definedName name="이종구" localSheetId="49" hidden="1">{#N/A,#N/A,FALSE,"배수1"}</definedName>
    <definedName name="이종구" hidden="1">{#N/A,#N/A,FALSE,"배수1"}</definedName>
    <definedName name="이집" localSheetId="24" hidden="1">#REF!</definedName>
    <definedName name="이집" hidden="1">#REF!</definedName>
    <definedName name="인천지검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[13]실행철강하도!$A$1:$A$4</definedName>
    <definedName name="一般管理費" localSheetId="5">#REF!</definedName>
    <definedName name="一般管理費" localSheetId="24">#REF!</definedName>
    <definedName name="一般管理費" localSheetId="49">#REF!</definedName>
    <definedName name="一般管理費" localSheetId="48">#REF!</definedName>
    <definedName name="一般管理費">#REF!</definedName>
    <definedName name="일위대가" localSheetId="24">'[29] HIT-&gt;HMC 견적(3900)'!$J$31</definedName>
    <definedName name="일위대가" localSheetId="49">'[29] HIT-&gt;HMC 견적(3900)'!$J$31</definedName>
    <definedName name="일위대가" localSheetId="48">'[29] HIT-&gt;HMC 견적(3900)'!$J$31</definedName>
    <definedName name="일위대가">#REF!</definedName>
    <definedName name="일위대가2" localSheetId="24" hidden="1">{#N/A,#N/A,TRUE,"손익보고"}</definedName>
    <definedName name="일위대가2" localSheetId="49" hidden="1">{#N/A,#N/A,TRUE,"손익보고"}</definedName>
    <definedName name="일위대가2" hidden="1">{#N/A,#N/A,TRUE,"손익보고"}</definedName>
    <definedName name="일위대가3" localSheetId="24" hidden="1">{#N/A,#N/A,TRUE,"손익보고"}</definedName>
    <definedName name="일위대가3" localSheetId="49" hidden="1">{#N/A,#N/A,TRUE,"손익보고"}</definedName>
    <definedName name="일위대가3" hidden="1">{#N/A,#N/A,TRUE,"손익보고"}</definedName>
    <definedName name="일위대가6" localSheetId="24" hidden="1">{#N/A,#N/A,TRUE,"손익보고"}</definedName>
    <definedName name="일위대가6" localSheetId="49" hidden="1">{#N/A,#N/A,TRUE,"손익보고"}</definedName>
    <definedName name="일위대가6" hidden="1">{#N/A,#N/A,TRUE,"손익보고"}</definedName>
    <definedName name="일의01" localSheetId="5">#REF!</definedName>
    <definedName name="일의01" localSheetId="24">[30]직노!#REF!</definedName>
    <definedName name="일의01" localSheetId="49">[30]직노!#REF!</definedName>
    <definedName name="일의01" localSheetId="48">[30]직노!#REF!</definedName>
    <definedName name="일의01" localSheetId="7">#REF!</definedName>
    <definedName name="일의01">#REF!</definedName>
    <definedName name="일집" localSheetId="24" hidden="1">#REF!</definedName>
    <definedName name="일집" hidden="1">#REF!</definedName>
    <definedName name="임다희" localSheetId="24" hidden="1">#REF!</definedName>
    <definedName name="임다희" hidden="1">#REF!</definedName>
    <definedName name="임다희10" localSheetId="24" hidden="1">#REF!</definedName>
    <definedName name="임다희10" hidden="1">#REF!</definedName>
    <definedName name="임다희99" localSheetId="24" hidden="1">#REF!</definedName>
    <definedName name="임다희99" hidden="1">#REF!</definedName>
    <definedName name="임지은" localSheetId="24" hidden="1">#REF!</definedName>
    <definedName name="임지은" hidden="1">#REF!</definedName>
    <definedName name="임지은85" localSheetId="24" hidden="1">#REF!</definedName>
    <definedName name="임지은85" hidden="1">#REF!</definedName>
    <definedName name="입찰금액안" localSheetId="24" hidden="1">[31]집계표!#REF!</definedName>
    <definedName name="입찰금액안" hidden="1">[31]집계표!#REF!</definedName>
    <definedName name="ㅈㄷ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ㄷ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ㅈㅈ" localSheetId="24" hidden="1">{#N/A,#N/A,FALSE,"표지목차"}</definedName>
    <definedName name="ㅈㅈ" localSheetId="49" hidden="1">{#N/A,#N/A,FALSE,"표지목차"}</definedName>
    <definedName name="ㅈㅈ" hidden="1">{#N/A,#N/A,FALSE,"표지목차"}</definedName>
    <definedName name="자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집계" localSheetId="24" hidden="1">{#N/A,#N/A,FALSE,"포장단가"}</definedName>
    <definedName name="자재집계" localSheetId="49" hidden="1">{#N/A,#N/A,FALSE,"포장단가"}</definedName>
    <definedName name="자재집계" hidden="1">{#N/A,#N/A,FALSE,"포장단가"}</definedName>
    <definedName name="잠실수영장" localSheetId="24" hidden="1">{#N/A,#N/A,FALSE,"전열산출서"}</definedName>
    <definedName name="잠실수영장" localSheetId="49" hidden="1">{#N/A,#N/A,FALSE,"전열산출서"}</definedName>
    <definedName name="잠실수영장" hidden="1">{#N/A,#N/A,FALSE,"전열산출서"}</definedName>
    <definedName name="잠실수영장수정" localSheetId="24" hidden="1">{#N/A,#N/A,FALSE,"전열산출서"}</definedName>
    <definedName name="잠실수영장수정" localSheetId="49" hidden="1">{#N/A,#N/A,FALSE,"전열산출서"}</definedName>
    <definedName name="잠실수영장수정" hidden="1">{#N/A,#N/A,FALSE,"전열산출서"}</definedName>
    <definedName name="잠실야구장" localSheetId="24" hidden="1">{#N/A,#N/A,FALSE,"전열산출서"}</definedName>
    <definedName name="잠실야구장" localSheetId="49" hidden="1">{#N/A,#N/A,FALSE,"전열산출서"}</definedName>
    <definedName name="잠실야구장" hidden="1">{#N/A,#N/A,FALSE,"전열산출서"}</definedName>
    <definedName name="材料費" localSheetId="5">#REF!</definedName>
    <definedName name="材料費" localSheetId="24">#REF!</definedName>
    <definedName name="材料費" localSheetId="49">#REF!</definedName>
    <definedName name="材料費" localSheetId="48">#REF!</definedName>
    <definedName name="材料費">#REF!</definedName>
    <definedName name="제조" localSheetId="24" hidden="1">#REF!</definedName>
    <definedName name="제조" hidden="1">#REF!</definedName>
    <definedName name="제조3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사가" localSheetId="24" hidden="1">[32]입찰안!#REF!</definedName>
    <definedName name="조사가" hidden="1">[32]입찰안!#REF!</definedName>
    <definedName name="종합청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기운반식" localSheetId="24" hidden="1">{#N/A,#N/A,FALSE,"포장단가"}</definedName>
    <definedName name="중기운반식" localSheetId="49" hidden="1">{#N/A,#N/A,FALSE,"포장단가"}</definedName>
    <definedName name="중기운반식" hidden="1">{#N/A,#N/A,FALSE,"포장단가"}</definedName>
    <definedName name="중량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중량산출" localSheetId="24" hidden="1">{#N/A,#N/A,FALSE,"Sheet1"}</definedName>
    <definedName name="중량산출" localSheetId="49" hidden="1">{#N/A,#N/A,FALSE,"Sheet1"}</definedName>
    <definedName name="중량산출" hidden="1">{#N/A,#N/A,FALSE,"Sheet1"}</definedName>
    <definedName name="지급자재" localSheetId="24" hidden="1">{#N/A,#N/A,FALSE,"포장1";#N/A,#N/A,FALSE,"포장1"}</definedName>
    <definedName name="지급자재" localSheetId="49" hidden="1">{#N/A,#N/A,FALSE,"포장1";#N/A,#N/A,FALSE,"포장1"}</definedName>
    <definedName name="지급자재" hidden="1">{#N/A,#N/A,FALSE,"포장1";#N/A,#N/A,FALSE,"포장1"}</definedName>
    <definedName name="지워" localSheetId="24" hidden="1">{#N/A,#N/A,FALSE,"전열산출서"}</definedName>
    <definedName name="지워" localSheetId="49" hidden="1">{#N/A,#N/A,FALSE,"전열산출서"}</definedName>
    <definedName name="지워" hidden="1">{#N/A,#N/A,FALSE,"전열산출서"}</definedName>
    <definedName name="지워야" localSheetId="24" hidden="1">{#N/A,#N/A,FALSE,"전열산출서"}</definedName>
    <definedName name="지워야" localSheetId="49" hidden="1">{#N/A,#N/A,FALSE,"전열산출서"}</definedName>
    <definedName name="지워야" hidden="1">{#N/A,#N/A,FALSE,"전열산출서"}</definedName>
    <definedName name="직54" localSheetId="24" hidden="1">{#N/A,#N/A,TRUE,"토적및재료집계";#N/A,#N/A,TRUE,"토적및재료집계";#N/A,#N/A,TRUE,"단위량"}</definedName>
    <definedName name="직54" localSheetId="49" hidden="1">{#N/A,#N/A,TRUE,"토적및재료집계";#N/A,#N/A,TRUE,"토적및재료집계";#N/A,#N/A,TRUE,"단위량"}</definedName>
    <definedName name="직54" hidden="1">{#N/A,#N/A,TRUE,"토적및재료집계";#N/A,#N/A,TRUE,"토적및재료집계";#N/A,#N/A,TRUE,"단위량"}</definedName>
    <definedName name="직54P" localSheetId="24" hidden="1">{#N/A,#N/A,TRUE,"토적및재료집계";#N/A,#N/A,TRUE,"토적및재료집계";#N/A,#N/A,TRUE,"단위량"}</definedName>
    <definedName name="직54P" localSheetId="49" hidden="1">{#N/A,#N/A,TRUE,"토적및재료집계";#N/A,#N/A,TRUE,"토적및재료집계";#N/A,#N/A,TRUE,"단위량"}</definedName>
    <definedName name="직54P" hidden="1">{#N/A,#N/A,TRUE,"토적및재료집계";#N/A,#N/A,TRUE,"토적및재료집계";#N/A,#N/A,TRUE,"단위량"}</definedName>
    <definedName name="직매54P" localSheetId="24" hidden="1">{#N/A,#N/A,TRUE,"토적및재료집계";#N/A,#N/A,TRUE,"토적및재료집계";#N/A,#N/A,TRUE,"단위량"}</definedName>
    <definedName name="직매54P" localSheetId="49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直接人件費" localSheetId="5">#REF!</definedName>
    <definedName name="直接人件費" localSheetId="24">#REF!</definedName>
    <definedName name="直接人件費" localSheetId="49">#REF!</definedName>
    <definedName name="直接人件費" localSheetId="48">#REF!</definedName>
    <definedName name="直接人件費">#REF!</definedName>
    <definedName name="진짜원가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4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계2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집수정" localSheetId="24" hidden="1">#REF!</definedName>
    <definedName name="집수정" hidden="1">#REF!</definedName>
    <definedName name="ㅊㄴ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ㄴ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ㅊㅊㅊㅊㅊㅊ" localSheetId="24" hidden="1">{#N/A,#N/A,FALSE,"현장 NCR 분석";#N/A,#N/A,FALSE,"현장품질감사";#N/A,#N/A,FALSE,"현장품질감사"}</definedName>
    <definedName name="ㅊㅊㅊㅊㅊㅊㅊ" localSheetId="49" hidden="1">{#N/A,#N/A,FALSE,"현장 NCR 분석";#N/A,#N/A,FALSE,"현장품질감사";#N/A,#N/A,FALSE,"현장품질감사"}</definedName>
    <definedName name="ㅊㅊㅊㅊㅊㅊㅊ" hidden="1">{#N/A,#N/A,FALSE,"현장 NCR 분석";#N/A,#N/A,FALSE,"현장품질감사";#N/A,#N/A,FALSE,"현장품질감사"}</definedName>
    <definedName name="ㅊ햐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ㅊ햐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철거사용내역" localSheetId="24" hidden="1">{#N/A,#N/A,TRUE,"토적및재료집계";#N/A,#N/A,TRUE,"토적및재료집계";#N/A,#N/A,TRUE,"단위량"}</definedName>
    <definedName name="철거사용내역" localSheetId="49" hidden="1">{#N/A,#N/A,TRUE,"토적및재료집계";#N/A,#N/A,TRUE,"토적및재료집계";#N/A,#N/A,TRUE,"단위량"}</definedName>
    <definedName name="철거사용내역" hidden="1">{#N/A,#N/A,TRUE,"토적및재료집계";#N/A,#N/A,TRUE,"토적및재료집계";#N/A,#N/A,TRUE,"단위량"}</definedName>
    <definedName name="철근" localSheetId="24" hidden="1">{#N/A,#N/A,FALSE,"포장단가"}</definedName>
    <definedName name="철근" localSheetId="49" hidden="1">{#N/A,#N/A,FALSE,"포장단가"}</definedName>
    <definedName name="철근" hidden="1">{#N/A,#N/A,FALSE,"포장단가"}</definedName>
    <definedName name="철근운반" localSheetId="24" hidden="1">{#N/A,#N/A,FALSE,"포장단가"}</definedName>
    <definedName name="철근운반" localSheetId="49" hidden="1">{#N/A,#N/A,FALSE,"포장단가"}</definedName>
    <definedName name="철근운반" hidden="1">{#N/A,#N/A,FALSE,"포장단가"}</definedName>
    <definedName name="청마총괄" localSheetId="5">#REF!</definedName>
    <definedName name="청마총괄" localSheetId="24">[33]직노!#REF!</definedName>
    <definedName name="청마총괄" localSheetId="49">[33]직노!#REF!</definedName>
    <definedName name="청마총괄" localSheetId="48">[33]직노!#REF!</definedName>
    <definedName name="청마총괄" localSheetId="7">#REF!</definedName>
    <definedName name="청마총괄">#REF!</definedName>
    <definedName name="쳐ㅑ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쳐ㅑ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총갑지" localSheetId="24" hidden="1">#REF!</definedName>
    <definedName name="총갑지" hidden="1">#REF!</definedName>
    <definedName name="총괄표" localSheetId="5">#REF!</definedName>
    <definedName name="총괄표" localSheetId="24">[33]직노!#REF!</definedName>
    <definedName name="총괄표" localSheetId="49">[33]직노!#REF!</definedName>
    <definedName name="총괄표" localSheetId="48">[33]직노!#REF!</definedName>
    <definedName name="총괄표" localSheetId="7">#REF!</definedName>
    <definedName name="총괄표">#REF!</definedName>
    <definedName name="총괄표.서울.강산" localSheetId="24" hidden="1">{#N/A,#N/A,FALSE,"구조2"}</definedName>
    <definedName name="총괄표.서울.강산" localSheetId="49" hidden="1">{#N/A,#N/A,FALSE,"구조2"}</definedName>
    <definedName name="총괄표.서울.강산" hidden="1">{#N/A,#N/A,FALSE,"구조2"}</definedName>
    <definedName name="總原價" localSheetId="5">#REF!</definedName>
    <definedName name="總原價" localSheetId="24">#REF!</definedName>
    <definedName name="總原價" localSheetId="49">#REF!</definedName>
    <definedName name="總原價" localSheetId="48">#REF!</definedName>
    <definedName name="總原價">#REF!</definedName>
    <definedName name="총집계" localSheetId="5">#REF!</definedName>
    <definedName name="총집계" localSheetId="24">#REF!</definedName>
    <definedName name="총집계" localSheetId="49">#REF!</definedName>
    <definedName name="총집계" localSheetId="48">#REF!</definedName>
    <definedName name="총집계">#REF!</definedName>
    <definedName name="최신기자재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신기자재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신기자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정" localSheetId="24" hidden="1">{#N/A,#N/A,FALSE,"전열산출서"}</definedName>
    <definedName name="추정" localSheetId="49" hidden="1">{#N/A,#N/A,FALSE,"전열산출서"}</definedName>
    <definedName name="추정" hidden="1">{#N/A,#N/A,FALSE,"전열산출서"}</definedName>
    <definedName name="충주" localSheetId="24" hidden="1">[34]설계내역서!#REF!</definedName>
    <definedName name="충주" hidden="1">[34]설계내역서!#REF!</definedName>
    <definedName name="칠곡" localSheetId="24" hidden="1">{#N/A,#N/A,TRUE,"손익보고"}</definedName>
    <definedName name="칠곡" localSheetId="49" hidden="1">{#N/A,#N/A,TRUE,"손익보고"}</definedName>
    <definedName name="칠곡" hidden="1">{#N/A,#N/A,TRUE,"손익보고"}</definedName>
    <definedName name="ㅋㅇ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ㅇㅌㅅ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ㅋㅋㅋ" localSheetId="24" hidden="1">{#N/A,#N/A,FALSE,"전력간선"}</definedName>
    <definedName name="ㅋㅋㅋ" localSheetId="49" hidden="1">{#N/A,#N/A,FALSE,"전력간선"}</definedName>
    <definedName name="ㅋㅋㅋ" hidden="1">{#N/A,#N/A,FALSE,"전력간선"}</definedName>
    <definedName name="ㅋㅋㅋㅋㅋㅋㅋㅋㅋㅋㅋ" localSheetId="24" hidden="1">{#N/A,#N/A,FALSE,"포장단가"}</definedName>
    <definedName name="ㅋㅋㅋㅋㅋㅋㅋㅋㅋㅋㅋ" localSheetId="49" hidden="1">{#N/A,#N/A,FALSE,"포장단가"}</definedName>
    <definedName name="ㅋㅋㅋㅋㅋㅋㅋㅋㅋㅋㅋ" hidden="1">{#N/A,#N/A,FALSE,"포장단가"}</definedName>
    <definedName name="케이블간지" localSheetId="24" hidden="1">{#N/A,#N/A,TRUE,"토적및재료집계";#N/A,#N/A,TRUE,"토적및재료집계";#N/A,#N/A,TRUE,"단위량"}</definedName>
    <definedName name="케이블간지" localSheetId="49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ㅌㄹ서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ㄹ서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랴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ㅌ료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ㅌ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타견적" hidden="1">[27]수량산출!$A$1:$A$8282</definedName>
    <definedName name="타워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타워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타워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타워설치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타워설치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타워설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24" hidden="1">#REF!</definedName>
    <definedName name="토" hidden="1">#REF!</definedName>
    <definedName name="토\40" localSheetId="24" hidden="1">{#N/A,#N/A,FALSE,"토공2"}</definedName>
    <definedName name="토\40" localSheetId="49" hidden="1">{#N/A,#N/A,FALSE,"토공2"}</definedName>
    <definedName name="토\40" hidden="1">{#N/A,#N/A,FALSE,"토공2"}</definedName>
    <definedName name="토1" localSheetId="24" hidden="1">{#N/A,#N/A,FALSE,"이정표"}</definedName>
    <definedName name="토1" localSheetId="49" hidden="1">{#N/A,#N/A,FALSE,"이정표"}</definedName>
    <definedName name="토1" hidden="1">{#N/A,#N/A,FALSE,"이정표"}</definedName>
    <definedName name="토2" localSheetId="24" hidden="1">{#N/A,#N/A,FALSE,"조골재"}</definedName>
    <definedName name="토2" localSheetId="49" hidden="1">{#N/A,#N/A,FALSE,"조골재"}</definedName>
    <definedName name="토2" hidden="1">{#N/A,#N/A,FALSE,"조골재"}</definedName>
    <definedName name="토3" localSheetId="24" hidden="1">{#N/A,#N/A,FALSE,"구조1"}</definedName>
    <definedName name="토3" localSheetId="49" hidden="1">{#N/A,#N/A,FALSE,"구조1"}</definedName>
    <definedName name="토3" hidden="1">{#N/A,#N/A,FALSE,"구조1"}</definedName>
    <definedName name="토공이수" localSheetId="24" hidden="1">#REF!</definedName>
    <definedName name="토공이수" hidden="1">#REF!</definedName>
    <definedName name="토량계산" localSheetId="24" hidden="1">{#N/A,#N/A,FALSE,"포장단가"}</definedName>
    <definedName name="토량계산" localSheetId="49" hidden="1">{#N/A,#N/A,FALSE,"포장단가"}</definedName>
    <definedName name="토량계산" hidden="1">{#N/A,#N/A,FALSE,"포장단가"}</definedName>
    <definedName name="토목설계" localSheetId="24" hidden="1">{#N/A,#N/A,FALSE,"골재소요량";#N/A,#N/A,FALSE,"골재소요량"}</definedName>
    <definedName name="토목설계" localSheetId="49" hidden="1">{#N/A,#N/A,FALSE,"골재소요량";#N/A,#N/A,FALSE,"골재소요량"}</definedName>
    <definedName name="토목설계" hidden="1">{#N/A,#N/A,FALSE,"골재소요량";#N/A,#N/A,FALSE,"골재소요량"}</definedName>
    <definedName name="토적집계1" localSheetId="24" hidden="1">{#N/A,#N/A,TRUE,"토적및재료집계";#N/A,#N/A,TRUE,"토적및재료집계";#N/A,#N/A,TRUE,"단위량"}</definedName>
    <definedName name="토적집계1" localSheetId="49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토적표" localSheetId="24" hidden="1">#REF!</definedName>
    <definedName name="토적표" hidden="1">#REF!</definedName>
    <definedName name="투찰" localSheetId="24" hidden="1">{#N/A,#N/A,FALSE,"단가표지"}</definedName>
    <definedName name="투찰" localSheetId="49" hidden="1">{#N/A,#N/A,FALSE,"단가표지"}</definedName>
    <definedName name="투찰" hidden="1">{#N/A,#N/A,FALSE,"단가표지"}</definedName>
    <definedName name="ㅍㅍ" localSheetId="24" hidden="1">{#N/A,#N/A,TRUE,"토적및재료집계";#N/A,#N/A,TRUE,"토적및재료집계";#N/A,#N/A,TRUE,"단위량"}</definedName>
    <definedName name="ㅍㅍ" localSheetId="49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파일" localSheetId="24" hidden="1">#REF!</definedName>
    <definedName name="파일" hidden="1">#REF!</definedName>
    <definedName name="팔" localSheetId="24" hidden="1">#REF!</definedName>
    <definedName name="팔" hidden="1">#REF!</definedName>
    <definedName name="포기3" localSheetId="24" hidden="1">{#N/A,#N/A,FALSE,"표지목차"}</definedName>
    <definedName name="포기3" localSheetId="49" hidden="1">{#N/A,#N/A,FALSE,"표지목차"}</definedName>
    <definedName name="포기3" hidden="1">{#N/A,#N/A,FALSE,"표지목차"}</definedName>
    <definedName name="포지머ㅗㄱㄷㅌ킹1" localSheetId="24" hidden="1">{#N/A,#N/A,FALSE,"표지목차"}</definedName>
    <definedName name="포지머ㅗㄱㄷㅌ킹1" localSheetId="49" hidden="1">{#N/A,#N/A,FALSE,"표지목차"}</definedName>
    <definedName name="포지머ㅗㄱㄷㅌ킹1" hidden="1">{#N/A,#N/A,FALSE,"표지목차"}</definedName>
    <definedName name="폽장2" localSheetId="24" hidden="1">{#N/A,#N/A,FALSE,"포장1";#N/A,#N/A,FALSE,"포장1"}</definedName>
    <definedName name="폽장2" localSheetId="49" hidden="1">{#N/A,#N/A,FALSE,"포장1";#N/A,#N/A,FALSE,"포장1"}</definedName>
    <definedName name="폽장2" hidden="1">{#N/A,#N/A,FALSE,"포장1";#N/A,#N/A,FALSE,"포장1"}</definedName>
    <definedName name="표지2" localSheetId="2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표지2" localSheetId="49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표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풍전2" localSheetId="24" hidden="1">{#N/A,#N/A,TRUE,"손익보고"}</definedName>
    <definedName name="풍전2" localSheetId="49" hidden="1">{#N/A,#N/A,TRUE,"손익보고"}</definedName>
    <definedName name="풍전2" hidden="1">{#N/A,#N/A,TRUE,"손익보고"}</definedName>
    <definedName name="ㅎ314" localSheetId="5">#REF!</definedName>
    <definedName name="ㅎ314" localSheetId="24">#REF!</definedName>
    <definedName name="ㅎ314" localSheetId="49">#REF!</definedName>
    <definedName name="ㅎ314" localSheetId="48">#REF!</definedName>
    <definedName name="ㅎ314" localSheetId="7">#REF!</definedName>
    <definedName name="ㅎ314">#REF!</definedName>
    <definedName name="ㅎㄴ" localSheetId="24" hidden="1">#REF!</definedName>
    <definedName name="ㅎㄴ" hidden="1">#REF!</definedName>
    <definedName name="ㅎㄹ" localSheetId="24" hidden="1">#REF!</definedName>
    <definedName name="ㅎㄹ" hidden="1">#REF!</definedName>
    <definedName name="ㅎ로낟안" localSheetId="24" hidden="1">{#N/A,#N/A,FALSE,"혼합골재"}</definedName>
    <definedName name="ㅎ로낟안" localSheetId="49" hidden="1">{#N/A,#N/A,FALSE,"혼합골재"}</definedName>
    <definedName name="ㅎ로낟안" hidden="1">{#N/A,#N/A,FALSE,"혼합골재"}</definedName>
    <definedName name="ㅎㅎㅎ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localSheetId="24" hidden="1">{#N/A,#N/A,TRUE,"토적및재료집계";#N/A,#N/A,TRUE,"토적및재료집계";#N/A,#N/A,TRUE,"단위량"}</definedName>
    <definedName name="ㅎㅎㅎㅎ" localSheetId="49" hidden="1">{#N/A,#N/A,TRUE,"토적및재료집계";#N/A,#N/A,TRUE,"토적및재료집계";#N/A,#N/A,TRUE,"단위량"}</definedName>
    <definedName name="ㅎㅎㅎㅎ" hidden="1">{#N/A,#N/A,TRUE,"토적및재료집계";#N/A,#N/A,TRUE,"토적및재료집계";#N/A,#N/A,TRUE,"단위량"}</definedName>
    <definedName name="하도대상" localSheetId="24" hidden="1">{#N/A,#N/A,FALSE,"골재소요량";#N/A,#N/A,FALSE,"골재소요량"}</definedName>
    <definedName name="하도대상" localSheetId="49" hidden="1">{#N/A,#N/A,FALSE,"골재소요량";#N/A,#N/A,FALSE,"골재소요량"}</definedName>
    <definedName name="하도대상" hidden="1">{#N/A,#N/A,FALSE,"골재소요량";#N/A,#N/A,FALSE,"골재소요량"}</definedName>
    <definedName name="하도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바" localSheetId="24" hidden="1">{#N/A,#N/A,FALSE,"포장단가"}</definedName>
    <definedName name="하이바" localSheetId="49" hidden="1">{#N/A,#N/A,FALSE,"포장단가"}</definedName>
    <definedName name="하이바" hidden="1">{#N/A,#N/A,FALSE,"포장단가"}</definedName>
    <definedName name="한" localSheetId="24" hidden="1">#REF!</definedName>
    <definedName name="한" hidden="1">#REF!</definedName>
    <definedName name="한전" localSheetId="24" hidden="1">{#N/A,#N/A,FALSE,"현장 NCR 분석";#N/A,#N/A,FALSE,"현장품질감사";#N/A,#N/A,FALSE,"현장품질감사"}</definedName>
    <definedName name="한전" localSheetId="49" hidden="1">{#N/A,#N/A,FALSE,"현장 NCR 분석";#N/A,#N/A,FALSE,"현장품질감사";#N/A,#N/A,FALSE,"현장품질감사"}</definedName>
    <definedName name="한전" hidden="1">{#N/A,#N/A,FALSE,"현장 NCR 분석";#N/A,#N/A,FALSE,"현장품질감사";#N/A,#N/A,FALSE,"현장품질감사"}</definedName>
    <definedName name="한전송부용" localSheetId="24" hidden="1">{#N/A,#N/A,FALSE,"전열산출서"}</definedName>
    <definedName name="한전송부용" localSheetId="49" hidden="1">{#N/A,#N/A,FALSE,"전열산출서"}</definedName>
    <definedName name="한전송부용" hidden="1">{#N/A,#N/A,FALSE,"전열산출서"}</definedName>
    <definedName name="합성을력" localSheetId="2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성을력" localSheetId="49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성을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현대" localSheetId="2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대" localSheetId="4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" localSheetId="24" hidden="1">{#N/A,#N/A,TRUE,"토적및재료집계";#N/A,#N/A,TRUE,"토적및재료집계";#N/A,#N/A,TRUE,"단위량"}</definedName>
    <definedName name="호" localSheetId="49" hidden="1">{#N/A,#N/A,TRUE,"토적및재료집계";#N/A,#N/A,TRUE,"토적및재료집계";#N/A,#N/A,TRUE,"단위량"}</definedName>
    <definedName name="호" hidden="1">{#N/A,#N/A,TRUE,"토적및재료집계";#N/A,#N/A,TRUE,"토적및재료집계";#N/A,#N/A,TRUE,"단위량"}</definedName>
    <definedName name="호호" localSheetId="24" hidden="1">{#N/A,#N/A,FALSE,"포장1";#N/A,#N/A,FALSE,"포장1"}</definedName>
    <definedName name="호호" localSheetId="49" hidden="1">{#N/A,#N/A,FALSE,"포장1";#N/A,#N/A,FALSE,"포장1"}</definedName>
    <definedName name="호호" hidden="1">{#N/A,#N/A,FALSE,"포장1";#N/A,#N/A,FALSE,"포장1"}</definedName>
    <definedName name="호ㅓㅕㅏ6ㅅ서ㅛㅓ" localSheetId="24" hidden="1">[35]입찰안!#REF!</definedName>
    <definedName name="호ㅓㅕㅏ6ㅅ서ㅛㅓ" hidden="1">[35]입찰안!#REF!</definedName>
    <definedName name="홍ㄹㄴㄷㄱ" localSheetId="24" hidden="1">#REF!</definedName>
    <definedName name="홍ㄹㄴㄷㄱ" hidden="1">#REF!</definedName>
    <definedName name="환경부기준" localSheetId="24" hidden="1">#REF!</definedName>
    <definedName name="환경부기준" hidden="1">#REF!</definedName>
    <definedName name="회사" localSheetId="24" hidden="1">{#N/A,#N/A,FALSE,"포장2"}</definedName>
    <definedName name="회사" localSheetId="49" hidden="1">{#N/A,#N/A,FALSE,"포장2"}</definedName>
    <definedName name="회사" hidden="1">{#N/A,#N/A,FALSE,"포장2"}</definedName>
    <definedName name="흄관운반" localSheetId="24" hidden="1">{#N/A,#N/A,FALSE,"포장단가"}</definedName>
    <definedName name="흄관운반" localSheetId="49" hidden="1">{#N/A,#N/A,FALSE,"포장단가"}</definedName>
    <definedName name="흄관운반" hidden="1">{#N/A,#N/A,FALSE,"포장단가"}</definedName>
    <definedName name="히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히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ㅏㅋㄴㅇ리" localSheetId="24" hidden="1">{#N/A,#N/A,FALSE,"전열산출서"}</definedName>
    <definedName name="ㅏㅋㄴㅇ리" localSheetId="49" hidden="1">{#N/A,#N/A,FALSE,"전열산출서"}</definedName>
    <definedName name="ㅏㅋㄴㅇ리" hidden="1">{#N/A,#N/A,FALSE,"전열산출서"}</definedName>
    <definedName name="ㅏㅏㅏ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[25]실행철강하도!$A$1:$A$4</definedName>
    <definedName name="ㅓ난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ㄹ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ㄹ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ㅓㅓㅏ니ㅣㅇ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ㅇ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ㅓㅛㅇ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ㅔㅔ" localSheetId="24" hidden="1">[36]집계표!#REF!</definedName>
    <definedName name="ㅔㅔ" hidden="1">[36]집계표!#REF!</definedName>
    <definedName name="ㅔㅔㅔㅔㅔㅔㅔㅔㅔㅔ" localSheetId="24" hidden="1">{#N/A,#N/A,FALSE,"현장 NCR 분석";#N/A,#N/A,FALSE,"현장품질감사";#N/A,#N/A,FALSE,"현장품질감사"}</definedName>
    <definedName name="ㅔㅔㅔㅔㅔㅔㅔㅔㅔㅔ" localSheetId="49" hidden="1">{#N/A,#N/A,FALSE,"현장 NCR 분석";#N/A,#N/A,FALSE,"현장품질감사";#N/A,#N/A,FALSE,"현장품질감사"}</definedName>
    <definedName name="ㅔㅔㅔㅔㅔㅔㅔㅔㅔㅔ" hidden="1">{#N/A,#N/A,FALSE,"현장 NCR 분석";#N/A,#N/A,FALSE,"현장품질감사";#N/A,#N/A,FALSE,"현장품질감사"}</definedName>
    <definedName name="ㅕㅕㅕㅕㅕㅕ" localSheetId="24" hidden="1">{#N/A,#N/A,FALSE,"현장 NCR 분석";#N/A,#N/A,FALSE,"현장품질감사";#N/A,#N/A,FALSE,"현장품질감사"}</definedName>
    <definedName name="ㅕㅕㅕㅕㅕㅕ" localSheetId="49" hidden="1">{#N/A,#N/A,FALSE,"현장 NCR 분석";#N/A,#N/A,FALSE,"현장품질감사";#N/A,#N/A,FALSE,"현장품질감사"}</definedName>
    <definedName name="ㅕㅕㅕㅕㅕㅕ" hidden="1">{#N/A,#N/A,FALSE,"현장 NCR 분석";#N/A,#N/A,FALSE,"현장품질감사";#N/A,#N/A,FALSE,"현장품질감사"}</definedName>
    <definedName name="ㅗ" localSheetId="24" hidden="1">{#N/A,#N/A,TRUE,"토적및재료집계";#N/A,#N/A,TRUE,"토적및재료집계";#N/A,#N/A,TRUE,"단위량"}</definedName>
    <definedName name="ㅗ" localSheetId="49" hidden="1">{#N/A,#N/A,TRUE,"토적및재료집계";#N/A,#N/A,TRUE,"토적및재료집계";#N/A,#N/A,TRUE,"단위량"}</definedName>
    <definedName name="ㅗ" hidden="1">{#N/A,#N/A,TRUE,"토적및재료집계";#N/A,#N/A,TRUE,"토적및재료집계";#N/A,#N/A,TRUE,"단위량"}</definedName>
    <definedName name="ㅗㄱㅇ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ㄱㅇ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ㄳ샤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ㄴㄱ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ㅗ마ㅓ리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ㄱ" localSheetId="24" hidden="1">{#N/A,#N/A,TRUE,"토적및재료집계";#N/A,#N/A,TRUE,"토적및재료집계";#N/A,#N/A,TRUE,"단위량"}</definedName>
    <definedName name="ㅗㅅㄱ" localSheetId="49" hidden="1">{#N/A,#N/A,TRUE,"토적및재료집계";#N/A,#N/A,TRUE,"토적및재료집계";#N/A,#N/A,TRUE,"단위량"}</definedName>
    <definedName name="ㅗㅅㄱ" hidden="1">{#N/A,#N/A,TRUE,"토적및재료집계";#N/A,#N/A,TRUE,"토적및재료집계";#N/A,#N/A,TRUE,"단위량"}</definedName>
    <definedName name="ㅗㅅㄴㄱ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ㅅㄴㄱ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ㅗㅗㅗ" localSheetId="24" hidden="1">{#N/A,#N/A,TRUE,"토적및재료집계";#N/A,#N/A,TRUE,"토적및재료집계";#N/A,#N/A,TRUE,"단위량"}</definedName>
    <definedName name="ㅗㅗㅗ" localSheetId="49" hidden="1">{#N/A,#N/A,TRUE,"토적및재료집계";#N/A,#N/A,TRUE,"토적및재료집계";#N/A,#N/A,TRUE,"단위량"}</definedName>
    <definedName name="ㅗㅗㅗ" hidden="1">{#N/A,#N/A,TRUE,"토적및재료집계";#N/A,#N/A,TRUE,"토적및재료집계";#N/A,#N/A,TRUE,"단위량"}</definedName>
    <definedName name="ㅗㅗㅗㅗㅗㅗㅗ" localSheetId="24" hidden="1">{#N/A,#N/A,FALSE,"현장 NCR 분석";#N/A,#N/A,FALSE,"현장품질감사";#N/A,#N/A,FALSE,"현장품질감사"}</definedName>
    <definedName name="ㅗㅗㅗㅗㅗㅗㅗ" localSheetId="49" hidden="1">{#N/A,#N/A,FALSE,"현장 NCR 분석";#N/A,#N/A,FALSE,"현장품질감사";#N/A,#N/A,FALSE,"현장품질감사"}</definedName>
    <definedName name="ㅗㅗㅗㅗㅗㅗㅗ" hidden="1">{#N/A,#N/A,FALSE,"현장 NCR 분석";#N/A,#N/A,FALSE,"현장품질감사";#N/A,#N/A,FALSE,"현장품질감사"}</definedName>
    <definedName name="ㅛ" localSheetId="24" hidden="1">{#N/A,#N/A,TRUE,"토적및재료집계";#N/A,#N/A,TRUE,"토적및재료집계";#N/A,#N/A,TRUE,"단위량"}</definedName>
    <definedName name="ㅛ" localSheetId="49" hidden="1">{#N/A,#N/A,TRUE,"토적및재료집계";#N/A,#N/A,TRUE,"토적및재료집계";#N/A,#N/A,TRUE,"단위량"}</definedName>
    <definedName name="ㅛ" hidden="1">{#N/A,#N/A,TRUE,"토적및재료집계";#N/A,#N/A,TRUE,"토적및재료집계";#N/A,#N/A,TRUE,"단위량"}</definedName>
    <definedName name="ㅛㅌ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ㅌ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ㅛㅕㅑ" localSheetId="24" hidden="1">#REF!</definedName>
    <definedName name="ㅛㅕㅑ" hidden="1">#REF!</definedName>
    <definedName name="ㅛㅗㅁ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ㅗㅁ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ㅛㅛㅛㅛㅛㅛ" localSheetId="24" hidden="1">{#N/A,#N/A,FALSE,"현장 NCR 분석";#N/A,#N/A,FALSE,"현장품질감사";#N/A,#N/A,FALSE,"현장품질감사"}</definedName>
    <definedName name="ㅛㅛㅛㅛㅛㅛ" localSheetId="49" hidden="1">{#N/A,#N/A,FALSE,"현장 NCR 분석";#N/A,#N/A,FALSE,"현장품질감사";#N/A,#N/A,FALSE,"현장품질감사"}</definedName>
    <definedName name="ㅛㅛㅛㅛㅛㅛ" hidden="1">{#N/A,#N/A,FALSE,"현장 NCR 분석";#N/A,#N/A,FALSE,"현장품질감사";#N/A,#N/A,FALSE,"현장품질감사"}</definedName>
    <definedName name="ㅜ" localSheetId="24" hidden="1">[11]수량산출!#REF!</definedName>
    <definedName name="ㅜ" hidden="1">[11]수량산출!#REF!</definedName>
    <definedName name="ㅡㅡㅡㅡㅡ" localSheetId="24" hidden="1">{#N/A,#N/A,FALSE,"현장 NCR 분석";#N/A,#N/A,FALSE,"현장품질감사";#N/A,#N/A,FALSE,"현장품질감사"}</definedName>
    <definedName name="ㅡㅡㅡㅡㅡ" localSheetId="49" hidden="1">{#N/A,#N/A,FALSE,"현장 NCR 분석";#N/A,#N/A,FALSE,"현장품질감사";#N/A,#N/A,FALSE,"현장품질감사"}</definedName>
    <definedName name="ㅡㅡㅡㅡㅡ" hidden="1">{#N/A,#N/A,FALSE,"현장 NCR 분석";#N/A,#N/A,FALSE,"현장품질감사";#N/A,#N/A,FALSE,"현장품질감사"}</definedName>
    <definedName name="ㅣ" localSheetId="2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" localSheetId="49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ㅣㅎ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ㅎ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ㅏ아ㅓㄴ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ㅗ효ㅕㅕㅕㅕㅛㅅㅅ" localSheetId="24" hidden="1">{#N/A,#N/A,FALSE,"현장 NCR 분석";#N/A,#N/A,FALSE,"현장품질감사";#N/A,#N/A,FALSE,"현장품질감사"}</definedName>
    <definedName name="ㅣㅏㅓㅗ효ㅕㅕㅕㅕㅛㅅㅅ" localSheetId="49" hidden="1">{#N/A,#N/A,FALSE,"현장 NCR 분석";#N/A,#N/A,FALSE,"현장품질감사";#N/A,#N/A,FALSE,"현장품질감사"}</definedName>
    <definedName name="ㅣㅏㅓㅗ효ㅕㅕㅕㅕㅛㅅㅅ" hidden="1">{#N/A,#N/A,FALSE,"현장 NCR 분석";#N/A,#N/A,FALSE,"현장품질감사";#N/A,#N/A,FALSE,"현장품질감사"}</definedName>
    <definedName name="ㅣㅣㅣ" localSheetId="2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" localSheetId="49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ㅣㅣㅣ노원문화" localSheetId="2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4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13" l="1"/>
  <c r="R9" i="213"/>
  <c r="N15" i="213"/>
  <c r="O15" i="213"/>
  <c r="N16" i="213"/>
  <c r="O16" i="213"/>
  <c r="M16" i="213"/>
  <c r="M15" i="213"/>
  <c r="W9" i="224" l="1"/>
  <c r="W10" i="224"/>
  <c r="W11" i="224"/>
  <c r="W12" i="224"/>
  <c r="W13" i="224"/>
  <c r="W14" i="224"/>
  <c r="W15" i="224"/>
  <c r="W16" i="224"/>
  <c r="W17" i="224"/>
  <c r="W18" i="224"/>
  <c r="W8" i="224"/>
  <c r="G42" i="241" l="1"/>
  <c r="J42" i="241"/>
  <c r="I42" i="241"/>
  <c r="H42" i="241"/>
  <c r="H44" i="259"/>
  <c r="G44" i="259"/>
  <c r="H45" i="258"/>
  <c r="G45" i="258"/>
  <c r="H44" i="113"/>
  <c r="G44" i="113"/>
  <c r="N248" i="248"/>
  <c r="AA213" i="248"/>
  <c r="M14" i="204" l="1"/>
  <c r="L14" i="204"/>
  <c r="K14" i="204"/>
  <c r="J14" i="204"/>
  <c r="I14" i="204"/>
  <c r="H14" i="204"/>
  <c r="G14" i="204"/>
  <c r="F14" i="204"/>
  <c r="M13" i="204"/>
  <c r="L13" i="204"/>
  <c r="K13" i="204"/>
  <c r="J13" i="204"/>
  <c r="I13" i="204"/>
  <c r="H13" i="204"/>
  <c r="G13" i="204"/>
  <c r="F13" i="204"/>
  <c r="E14" i="204"/>
  <c r="E13" i="204"/>
  <c r="C231" i="248"/>
  <c r="E229" i="1"/>
  <c r="E182" i="1"/>
  <c r="H244" i="248"/>
  <c r="H243" i="248"/>
  <c r="H242" i="248"/>
  <c r="H241" i="248"/>
  <c r="H240" i="248"/>
  <c r="H239" i="248"/>
  <c r="H238" i="248"/>
  <c r="E233" i="248"/>
  <c r="C247" i="248"/>
  <c r="N246" i="248" s="1"/>
  <c r="R8" i="73"/>
  <c r="N17" i="1"/>
  <c r="S12" i="121"/>
  <c r="S11" i="121"/>
  <c r="S10" i="121"/>
  <c r="N15" i="72"/>
  <c r="P25" i="175"/>
  <c r="D20" i="158"/>
  <c r="G20" i="158" s="1"/>
  <c r="J20" i="158" s="1"/>
  <c r="M20" i="158" s="1"/>
  <c r="B20" i="158"/>
  <c r="A20" i="158"/>
  <c r="Z20" i="158" s="1"/>
  <c r="D19" i="158"/>
  <c r="G19" i="158" s="1"/>
  <c r="J19" i="158" s="1"/>
  <c r="M19" i="158" s="1"/>
  <c r="B19" i="158"/>
  <c r="A19" i="158"/>
  <c r="Z19" i="158" s="1"/>
  <c r="E235" i="248" l="1"/>
  <c r="C235" i="248" s="1"/>
  <c r="S20" i="158"/>
  <c r="P20" i="158"/>
  <c r="V20" i="158" s="1"/>
  <c r="S19" i="158"/>
  <c r="P19" i="158"/>
  <c r="V19" i="158" s="1"/>
  <c r="E234" i="248" l="1"/>
  <c r="C234" i="248" s="1"/>
  <c r="C232" i="248" s="1"/>
  <c r="E238" i="248" s="1"/>
  <c r="C236" i="248" l="1"/>
  <c r="C237" i="248" s="1"/>
  <c r="D22" i="158"/>
  <c r="G22" i="158" s="1"/>
  <c r="J22" i="158" s="1"/>
  <c r="M22" i="158" s="1"/>
  <c r="O21" i="111"/>
  <c r="L21" i="111"/>
  <c r="G21" i="111"/>
  <c r="J21" i="111" s="1"/>
  <c r="M21" i="111" s="1"/>
  <c r="P21" i="111" s="1"/>
  <c r="F21" i="111"/>
  <c r="H21" i="111" s="1"/>
  <c r="D21" i="111"/>
  <c r="A21" i="111"/>
  <c r="G10" i="111"/>
  <c r="J10" i="111" s="1"/>
  <c r="M10" i="111" s="1"/>
  <c r="P10" i="111" s="1"/>
  <c r="D10" i="111"/>
  <c r="B10" i="111"/>
  <c r="A10" i="111"/>
  <c r="M102" i="62"/>
  <c r="M101" i="62"/>
  <c r="M100" i="62"/>
  <c r="M99" i="62"/>
  <c r="M98" i="62"/>
  <c r="M97" i="62"/>
  <c r="M96" i="62"/>
  <c r="K112" i="62"/>
  <c r="K113" i="62" s="1"/>
  <c r="J112" i="62"/>
  <c r="I112" i="62"/>
  <c r="D112" i="62"/>
  <c r="A112" i="62"/>
  <c r="M118" i="62"/>
  <c r="M117" i="62"/>
  <c r="M116" i="62"/>
  <c r="M115" i="62"/>
  <c r="M114" i="62"/>
  <c r="M113" i="62"/>
  <c r="M112" i="62"/>
  <c r="J113" i="62"/>
  <c r="K24" i="62"/>
  <c r="K25" i="62" s="1"/>
  <c r="I24" i="62"/>
  <c r="D24" i="62"/>
  <c r="B24" i="62"/>
  <c r="A24" i="62"/>
  <c r="M30" i="62"/>
  <c r="M29" i="62"/>
  <c r="M28" i="62"/>
  <c r="M27" i="62"/>
  <c r="M26" i="62"/>
  <c r="M25" i="62"/>
  <c r="M24" i="62"/>
  <c r="G21" i="158"/>
  <c r="J21" i="158" s="1"/>
  <c r="M21" i="158" s="1"/>
  <c r="D21" i="158"/>
  <c r="B21" i="158"/>
  <c r="A21" i="158"/>
  <c r="D10" i="158"/>
  <c r="G10" i="158" s="1"/>
  <c r="J10" i="158" s="1"/>
  <c r="M10" i="158" s="1"/>
  <c r="B10" i="158"/>
  <c r="A10" i="158"/>
  <c r="O21" i="7"/>
  <c r="L21" i="7"/>
  <c r="I21" i="7"/>
  <c r="F21" i="7"/>
  <c r="G21" i="7"/>
  <c r="J21" i="7" s="1"/>
  <c r="R21" i="7"/>
  <c r="D21" i="7"/>
  <c r="A21" i="7"/>
  <c r="G10" i="7"/>
  <c r="J10" i="7" s="1"/>
  <c r="D10" i="7"/>
  <c r="B10" i="7"/>
  <c r="A10" i="7"/>
  <c r="I297" i="1"/>
  <c r="I290" i="1"/>
  <c r="G21" i="175"/>
  <c r="D21" i="175"/>
  <c r="A21" i="175"/>
  <c r="I231" i="1"/>
  <c r="I224" i="1"/>
  <c r="J10" i="175"/>
  <c r="M10" i="175" s="1"/>
  <c r="G10" i="175"/>
  <c r="D10" i="175"/>
  <c r="B10" i="175"/>
  <c r="A10" i="175"/>
  <c r="A302" i="1"/>
  <c r="A224" i="1"/>
  <c r="H22" i="73"/>
  <c r="H11" i="73"/>
  <c r="F21" i="73"/>
  <c r="D21" i="73"/>
  <c r="B21" i="73"/>
  <c r="A290" i="1" s="1"/>
  <c r="A21" i="73"/>
  <c r="F10" i="73"/>
  <c r="D10" i="73"/>
  <c r="B10" i="73"/>
  <c r="A10" i="73"/>
  <c r="A236" i="1"/>
  <c r="E244" i="248" l="1"/>
  <c r="C244" i="248" s="1"/>
  <c r="E240" i="248"/>
  <c r="C240" i="248" s="1"/>
  <c r="E239" i="248"/>
  <c r="C239" i="248" s="1"/>
  <c r="E242" i="248" s="1"/>
  <c r="C242" i="248" s="1"/>
  <c r="E241" i="248"/>
  <c r="C241" i="248" s="1"/>
  <c r="E243" i="248"/>
  <c r="C243" i="248" s="1"/>
  <c r="C238" i="248"/>
  <c r="B21" i="7"/>
  <c r="P22" i="158"/>
  <c r="V22" i="158" s="1"/>
  <c r="S22" i="158"/>
  <c r="N21" i="111"/>
  <c r="Q21" i="111"/>
  <c r="L112" i="62"/>
  <c r="L113" i="62" s="1"/>
  <c r="K117" i="62"/>
  <c r="K114" i="62"/>
  <c r="J114" i="62"/>
  <c r="J117" i="62"/>
  <c r="I113" i="62"/>
  <c r="K29" i="62"/>
  <c r="K26" i="62"/>
  <c r="I25" i="62"/>
  <c r="P21" i="158"/>
  <c r="V21" i="158" s="1"/>
  <c r="S21" i="158"/>
  <c r="P10" i="158"/>
  <c r="V10" i="158" s="1"/>
  <c r="S10" i="158"/>
  <c r="M21" i="7"/>
  <c r="K21" i="7"/>
  <c r="H21" i="7"/>
  <c r="M10" i="7"/>
  <c r="B21" i="175"/>
  <c r="J21" i="175"/>
  <c r="M21" i="175" s="1"/>
  <c r="P10" i="175"/>
  <c r="G21" i="73"/>
  <c r="G10" i="73"/>
  <c r="I50" i="113"/>
  <c r="I49" i="113"/>
  <c r="I45" i="113"/>
  <c r="I42" i="113"/>
  <c r="I33" i="113"/>
  <c r="I32" i="113"/>
  <c r="I31" i="113"/>
  <c r="I30" i="113"/>
  <c r="I29" i="113"/>
  <c r="I28" i="113"/>
  <c r="I14" i="113"/>
  <c r="I11" i="113"/>
  <c r="A153" i="62"/>
  <c r="H1" i="72"/>
  <c r="H17" i="101"/>
  <c r="E8" i="79"/>
  <c r="F8" i="79" s="1"/>
  <c r="F9" i="79" s="1"/>
  <c r="N112" i="62" l="1"/>
  <c r="C21" i="158" s="1"/>
  <c r="C245" i="248"/>
  <c r="C246" i="248" s="1"/>
  <c r="B21" i="111"/>
  <c r="B112" i="62"/>
  <c r="K118" i="62"/>
  <c r="K115" i="62"/>
  <c r="I117" i="62"/>
  <c r="I114" i="62"/>
  <c r="J115" i="62"/>
  <c r="J118" i="62"/>
  <c r="L114" i="62"/>
  <c r="N113" i="62"/>
  <c r="F21" i="158" s="1"/>
  <c r="L117" i="62"/>
  <c r="N117" i="62" s="1"/>
  <c r="R21" i="158" s="1"/>
  <c r="K30" i="62"/>
  <c r="K27" i="62"/>
  <c r="I29" i="62"/>
  <c r="I26" i="62"/>
  <c r="P21" i="7"/>
  <c r="N21" i="7"/>
  <c r="P10" i="7"/>
  <c r="P21" i="175"/>
  <c r="S21" i="175" s="1"/>
  <c r="S10" i="175"/>
  <c r="H36" i="259"/>
  <c r="H37" i="258"/>
  <c r="H48" i="259"/>
  <c r="H47" i="259"/>
  <c r="H49" i="258"/>
  <c r="H48" i="258"/>
  <c r="H40" i="259"/>
  <c r="H39" i="259"/>
  <c r="H38" i="259"/>
  <c r="H37" i="259"/>
  <c r="H35" i="259"/>
  <c r="H41" i="258"/>
  <c r="H40" i="258"/>
  <c r="H39" i="258"/>
  <c r="H38" i="258"/>
  <c r="H36" i="258"/>
  <c r="H48" i="113"/>
  <c r="H47" i="113"/>
  <c r="H40" i="113"/>
  <c r="H39" i="113"/>
  <c r="H38" i="113"/>
  <c r="H37" i="113"/>
  <c r="H36" i="113"/>
  <c r="H35" i="113"/>
  <c r="G36" i="113"/>
  <c r="G37" i="113"/>
  <c r="G38" i="113"/>
  <c r="G39" i="113"/>
  <c r="G40" i="113"/>
  <c r="H42" i="101"/>
  <c r="H21" i="101"/>
  <c r="H20" i="101"/>
  <c r="H19" i="101"/>
  <c r="H18" i="101"/>
  <c r="H16" i="101"/>
  <c r="H10" i="101"/>
  <c r="H9" i="101"/>
  <c r="G36" i="259"/>
  <c r="G37" i="258"/>
  <c r="J31" i="259"/>
  <c r="I31" i="259" s="1"/>
  <c r="I30" i="259"/>
  <c r="B30" i="259"/>
  <c r="I12" i="259"/>
  <c r="J32" i="258"/>
  <c r="I32" i="258" s="1"/>
  <c r="I31" i="258"/>
  <c r="B31" i="258"/>
  <c r="I12" i="258"/>
  <c r="Q246" i="248" l="1"/>
  <c r="O246" i="248"/>
  <c r="L115" i="62"/>
  <c r="N115" i="62" s="1"/>
  <c r="N114" i="62"/>
  <c r="I21" i="158" s="1"/>
  <c r="L118" i="62"/>
  <c r="N118" i="62" s="1"/>
  <c r="U21" i="158" s="1"/>
  <c r="I118" i="62"/>
  <c r="I115" i="62"/>
  <c r="I30" i="62"/>
  <c r="I27" i="62"/>
  <c r="S21" i="7"/>
  <c r="T21" i="7" s="1"/>
  <c r="Q21" i="7"/>
  <c r="S10" i="7"/>
  <c r="B31" i="259"/>
  <c r="B32" i="258"/>
  <c r="L116" i="62" l="1"/>
  <c r="N116" i="62" s="1"/>
  <c r="O21" i="158" s="1"/>
  <c r="L21" i="158"/>
  <c r="M12" i="121"/>
  <c r="B11" i="121"/>
  <c r="B12" i="121"/>
  <c r="M12" i="256"/>
  <c r="L69" i="256"/>
  <c r="L71" i="256" s="1"/>
  <c r="K69" i="256"/>
  <c r="K71" i="256" s="1"/>
  <c r="J69" i="256"/>
  <c r="J71" i="256" s="1"/>
  <c r="I69" i="256"/>
  <c r="I71" i="256" s="1"/>
  <c r="M64" i="256"/>
  <c r="M59" i="256"/>
  <c r="M54" i="256"/>
  <c r="M49" i="256"/>
  <c r="M44" i="256"/>
  <c r="M39" i="256"/>
  <c r="M33" i="256"/>
  <c r="M28" i="256"/>
  <c r="M23" i="256"/>
  <c r="M17" i="256"/>
  <c r="M7" i="256"/>
  <c r="N119" i="62" l="1"/>
  <c r="I70" i="256"/>
  <c r="J70" i="256"/>
  <c r="M69" i="256"/>
  <c r="K70" i="256"/>
  <c r="L70" i="256"/>
  <c r="L72" i="256"/>
  <c r="M70" i="256" l="1"/>
  <c r="J34" i="241" l="1"/>
  <c r="I34" i="241"/>
  <c r="AE28" i="206"/>
  <c r="AE27" i="206"/>
  <c r="AE26" i="206"/>
  <c r="AE25" i="206"/>
  <c r="AE24" i="206"/>
  <c r="AE23" i="206"/>
  <c r="AE22" i="206"/>
  <c r="AE21" i="206"/>
  <c r="AE20" i="206"/>
  <c r="AE19" i="206"/>
  <c r="AE18" i="206"/>
  <c r="AE17" i="206"/>
  <c r="AE16" i="206"/>
  <c r="AE15" i="206"/>
  <c r="AE14" i="206"/>
  <c r="AE13" i="206"/>
  <c r="AE12" i="206"/>
  <c r="AE11" i="206"/>
  <c r="AE10" i="206"/>
  <c r="AE9" i="206"/>
  <c r="AE8" i="206"/>
  <c r="AE30" i="206" s="1"/>
  <c r="AE31" i="206" s="1"/>
  <c r="AE7" i="206"/>
  <c r="T28" i="206"/>
  <c r="T27" i="206"/>
  <c r="T26" i="206"/>
  <c r="T25" i="206"/>
  <c r="T24" i="206"/>
  <c r="T23" i="206"/>
  <c r="T22" i="206"/>
  <c r="T21" i="206"/>
  <c r="T20" i="206"/>
  <c r="T19" i="206"/>
  <c r="T18" i="206"/>
  <c r="T17" i="206"/>
  <c r="T16" i="206"/>
  <c r="T15" i="206"/>
  <c r="T14" i="206"/>
  <c r="T13" i="206"/>
  <c r="T12" i="206"/>
  <c r="T11" i="206"/>
  <c r="T10" i="206"/>
  <c r="T9" i="206"/>
  <c r="T8" i="206"/>
  <c r="T7" i="206"/>
  <c r="T30" i="206" s="1"/>
  <c r="T31" i="206" s="1"/>
  <c r="M1" i="206"/>
  <c r="H28" i="206"/>
  <c r="H27" i="206"/>
  <c r="H26" i="206"/>
  <c r="H25" i="206"/>
  <c r="H24" i="206"/>
  <c r="H23" i="206"/>
  <c r="H22" i="206"/>
  <c r="H21" i="206"/>
  <c r="H20" i="206"/>
  <c r="H19" i="206"/>
  <c r="H18" i="206"/>
  <c r="H17" i="206"/>
  <c r="H16" i="206"/>
  <c r="H15" i="206"/>
  <c r="H14" i="206"/>
  <c r="H13" i="206"/>
  <c r="H12" i="206"/>
  <c r="H11" i="206"/>
  <c r="H10" i="206"/>
  <c r="H9" i="206"/>
  <c r="H8" i="206"/>
  <c r="H7" i="206"/>
  <c r="O12" i="213"/>
  <c r="N12" i="213"/>
  <c r="M12" i="213"/>
  <c r="K19" i="224"/>
  <c r="J19" i="224"/>
  <c r="I19" i="224"/>
  <c r="H19" i="224"/>
  <c r="K18" i="224"/>
  <c r="J18" i="224"/>
  <c r="I18" i="224"/>
  <c r="H18" i="224"/>
  <c r="K17" i="224"/>
  <c r="J17" i="224"/>
  <c r="I17" i="224"/>
  <c r="H17" i="224"/>
  <c r="K16" i="224"/>
  <c r="J16" i="224"/>
  <c r="I16" i="224"/>
  <c r="H16" i="224"/>
  <c r="K15" i="224"/>
  <c r="J15" i="224"/>
  <c r="I15" i="224"/>
  <c r="H15" i="224"/>
  <c r="K14" i="224"/>
  <c r="J14" i="224"/>
  <c r="I14" i="224"/>
  <c r="H14" i="224"/>
  <c r="K13" i="224"/>
  <c r="J13" i="224"/>
  <c r="I13" i="224"/>
  <c r="H13" i="224"/>
  <c r="K12" i="224"/>
  <c r="J12" i="224"/>
  <c r="I12" i="224"/>
  <c r="H12" i="224"/>
  <c r="K11" i="224"/>
  <c r="J11" i="224"/>
  <c r="I11" i="224"/>
  <c r="H11" i="224"/>
  <c r="K10" i="224"/>
  <c r="J10" i="224"/>
  <c r="I10" i="224"/>
  <c r="H10" i="224"/>
  <c r="K9" i="224"/>
  <c r="J9" i="224"/>
  <c r="I9" i="224"/>
  <c r="H9" i="224"/>
  <c r="K8" i="224"/>
  <c r="J8" i="224"/>
  <c r="I8" i="224"/>
  <c r="H8" i="224"/>
  <c r="P12" i="213" l="1"/>
  <c r="G12" i="213" s="1"/>
  <c r="E21" i="255"/>
  <c r="F21" i="255" s="1"/>
  <c r="E20" i="255"/>
  <c r="F20" i="255" s="1"/>
  <c r="E19" i="255"/>
  <c r="E18" i="255"/>
  <c r="F18" i="255" s="1"/>
  <c r="E17" i="255"/>
  <c r="F17" i="255" s="1"/>
  <c r="E16" i="255"/>
  <c r="E15" i="255"/>
  <c r="E14" i="255"/>
  <c r="K10" i="249" a="1"/>
  <c r="K10" i="249" s="1"/>
  <c r="F17" i="254"/>
  <c r="E17" i="254"/>
  <c r="D17" i="254"/>
  <c r="C17" i="254"/>
  <c r="B17" i="254"/>
  <c r="G17" i="254" s="1"/>
  <c r="C6" i="254" s="1"/>
  <c r="E6" i="254" s="1"/>
  <c r="G16" i="254"/>
  <c r="G15" i="254"/>
  <c r="G14" i="254"/>
  <c r="G10" i="213" l="1"/>
  <c r="G9" i="213"/>
  <c r="G11" i="213"/>
  <c r="F22" i="255"/>
  <c r="B6" i="255" s="1"/>
  <c r="D10" i="249" l="1"/>
  <c r="D7" i="249"/>
  <c r="H16" i="212" l="1"/>
  <c r="H17" i="212" s="1"/>
  <c r="H15" i="212"/>
  <c r="K2" i="249" l="1"/>
  <c r="D8" i="249" s="1"/>
  <c r="D9" i="251"/>
  <c r="E9" i="251" s="1"/>
  <c r="C9" i="251"/>
  <c r="D8" i="251"/>
  <c r="G8" i="251" s="1"/>
  <c r="D7" i="251"/>
  <c r="G7" i="251" s="1"/>
  <c r="G6" i="251"/>
  <c r="E6" i="251"/>
  <c r="N6" i="251" s="1"/>
  <c r="D6" i="251"/>
  <c r="E7" i="251" l="1"/>
  <c r="K6" i="251"/>
  <c r="L6" i="251"/>
  <c r="I6" i="251"/>
  <c r="M6" i="251"/>
  <c r="E8" i="251"/>
  <c r="J6" i="251"/>
  <c r="L8" i="251" l="1"/>
  <c r="I8" i="251"/>
  <c r="K8" i="251"/>
  <c r="N8" i="251"/>
  <c r="M8" i="251"/>
  <c r="J8" i="251"/>
  <c r="J9" i="251" s="1"/>
  <c r="O6" i="251"/>
  <c r="P6" i="251"/>
  <c r="K7" i="251"/>
  <c r="K9" i="251" s="1"/>
  <c r="M7" i="251"/>
  <c r="O7" i="251" s="1"/>
  <c r="L7" i="251"/>
  <c r="L9" i="251" s="1"/>
  <c r="J7" i="251"/>
  <c r="I7" i="251"/>
  <c r="N7" i="251"/>
  <c r="P8" i="251" l="1"/>
  <c r="P7" i="251"/>
  <c r="P9" i="251"/>
  <c r="N9" i="251"/>
  <c r="I9" i="251"/>
  <c r="M9" i="251"/>
  <c r="C12" i="251" s="1"/>
  <c r="O9" i="251"/>
  <c r="I23" i="251" l="1"/>
  <c r="C11" i="251"/>
  <c r="C13" i="251" s="1"/>
  <c r="E12" i="251" s="1"/>
  <c r="G12" i="251" s="1"/>
  <c r="BM52" i="250" l="1"/>
  <c r="AV16" i="250"/>
  <c r="S15" i="250"/>
  <c r="AB15" i="250" s="1"/>
  <c r="AN15" i="250" s="1"/>
  <c r="BA15" i="250" s="1"/>
  <c r="S14" i="250"/>
  <c r="AB14" i="250" s="1"/>
  <c r="AN14" i="250" s="1"/>
  <c r="BA14" i="250" s="1"/>
  <c r="S13" i="250"/>
  <c r="AB13" i="250" s="1"/>
  <c r="AN13" i="250" s="1"/>
  <c r="D9" i="249"/>
  <c r="AN16" i="250" l="1"/>
  <c r="BA13" i="250"/>
  <c r="BA16" i="250" s="1"/>
  <c r="T6" i="250" s="1"/>
  <c r="AK6" i="250" s="1"/>
  <c r="E10" i="249" l="1"/>
  <c r="E9" i="249"/>
  <c r="E8" i="249"/>
  <c r="L7" i="249"/>
  <c r="E7" i="249"/>
  <c r="L6" i="249"/>
  <c r="L5" i="249"/>
  <c r="L8" i="249" s="1"/>
  <c r="L2" i="249"/>
  <c r="J13" i="46"/>
  <c r="AP21" i="224"/>
  <c r="AN21" i="224"/>
  <c r="AM21" i="224"/>
  <c r="AL21" i="224"/>
  <c r="AK21" i="224"/>
  <c r="AI21" i="224"/>
  <c r="AH21" i="224"/>
  <c r="AG21" i="224"/>
  <c r="AF21" i="224"/>
  <c r="AD21" i="224"/>
  <c r="AC21" i="224"/>
  <c r="AB21" i="224"/>
  <c r="AA21" i="224"/>
  <c r="AA22" i="224" l="1"/>
  <c r="AK22" i="224"/>
  <c r="AF22" i="224"/>
  <c r="F7" i="213" l="1"/>
  <c r="H7" i="213" s="1"/>
  <c r="P22" i="224"/>
  <c r="X21" i="224"/>
  <c r="W21" i="224"/>
  <c r="U22" i="224" s="1"/>
  <c r="G8" i="213" s="1"/>
  <c r="V21" i="224"/>
  <c r="U21" i="224"/>
  <c r="S21" i="224"/>
  <c r="R21" i="224"/>
  <c r="Q21" i="224"/>
  <c r="P21" i="224"/>
  <c r="H11" i="215"/>
  <c r="H9" i="215"/>
  <c r="G9" i="209"/>
  <c r="T10" i="229"/>
  <c r="T8" i="229"/>
  <c r="T9" i="229"/>
  <c r="T11" i="229"/>
  <c r="T12" i="229"/>
  <c r="T13" i="229"/>
  <c r="T7" i="229"/>
  <c r="E7" i="229" s="1"/>
  <c r="L7" i="213" l="1"/>
  <c r="B23" i="73"/>
  <c r="B23" i="7" s="1"/>
  <c r="G9" i="111"/>
  <c r="J9" i="111" s="1"/>
  <c r="M9" i="111" s="1"/>
  <c r="P9" i="111" s="1"/>
  <c r="G11" i="111"/>
  <c r="J11" i="111" s="1"/>
  <c r="M11" i="111" s="1"/>
  <c r="P11" i="111" s="1"/>
  <c r="G12" i="111"/>
  <c r="J12" i="111" s="1"/>
  <c r="M12" i="111" s="1"/>
  <c r="P12" i="111" s="1"/>
  <c r="G13" i="111"/>
  <c r="G14" i="111"/>
  <c r="J14" i="111" s="1"/>
  <c r="M14" i="111" s="1"/>
  <c r="P14" i="111" s="1"/>
  <c r="G15" i="111"/>
  <c r="J15" i="111" s="1"/>
  <c r="M15" i="111" s="1"/>
  <c r="P15" i="111" s="1"/>
  <c r="G16" i="111"/>
  <c r="J16" i="111" s="1"/>
  <c r="M16" i="111" s="1"/>
  <c r="P16" i="111" s="1"/>
  <c r="G17" i="111"/>
  <c r="J17" i="111" s="1"/>
  <c r="M17" i="111" s="1"/>
  <c r="P17" i="111" s="1"/>
  <c r="G18" i="111"/>
  <c r="J18" i="111" s="1"/>
  <c r="M18" i="111" s="1"/>
  <c r="P18" i="111" s="1"/>
  <c r="G19" i="111"/>
  <c r="J19" i="111" s="1"/>
  <c r="M19" i="111" s="1"/>
  <c r="P19" i="111" s="1"/>
  <c r="G20" i="111"/>
  <c r="J20" i="111" s="1"/>
  <c r="M20" i="111" s="1"/>
  <c r="P20" i="111" s="1"/>
  <c r="G22" i="111"/>
  <c r="J22" i="111" s="1"/>
  <c r="M22" i="111" s="1"/>
  <c r="P22" i="111" s="1"/>
  <c r="G23" i="111"/>
  <c r="J23" i="111" s="1"/>
  <c r="M23" i="111" s="1"/>
  <c r="P23" i="111" s="1"/>
  <c r="G24" i="111"/>
  <c r="J24" i="111" s="1"/>
  <c r="M24" i="111" s="1"/>
  <c r="P24" i="111" s="1"/>
  <c r="M142" i="62"/>
  <c r="M141" i="62"/>
  <c r="M140" i="62"/>
  <c r="M139" i="62"/>
  <c r="M138" i="62"/>
  <c r="M137" i="62"/>
  <c r="M136" i="62"/>
  <c r="M134" i="62"/>
  <c r="M133" i="62"/>
  <c r="M132" i="62"/>
  <c r="M131" i="62"/>
  <c r="M130" i="62"/>
  <c r="M129" i="62"/>
  <c r="M128" i="62"/>
  <c r="M110" i="62"/>
  <c r="M109" i="62"/>
  <c r="M108" i="62"/>
  <c r="M107" i="62"/>
  <c r="M106" i="62"/>
  <c r="M105" i="62"/>
  <c r="M104" i="62"/>
  <c r="J13" i="111" l="1"/>
  <c r="G25" i="111"/>
  <c r="B23" i="111"/>
  <c r="B128" i="62"/>
  <c r="M13" i="111" l="1"/>
  <c r="J25" i="111"/>
  <c r="L31" i="235"/>
  <c r="K31" i="235"/>
  <c r="L30" i="235"/>
  <c r="K30" i="235"/>
  <c r="L29" i="235"/>
  <c r="K29" i="235"/>
  <c r="L28" i="235"/>
  <c r="K28" i="235"/>
  <c r="L27" i="235"/>
  <c r="K27" i="235"/>
  <c r="L26" i="235"/>
  <c r="K26" i="235"/>
  <c r="L25" i="235"/>
  <c r="K25" i="235"/>
  <c r="L24" i="235"/>
  <c r="K24" i="235"/>
  <c r="L23" i="235"/>
  <c r="K23" i="235"/>
  <c r="L22" i="235"/>
  <c r="K22" i="235"/>
  <c r="L21" i="235"/>
  <c r="K21" i="235"/>
  <c r="L20" i="235"/>
  <c r="K20" i="235"/>
  <c r="L19" i="235"/>
  <c r="K19" i="235"/>
  <c r="L18" i="235"/>
  <c r="K18" i="235"/>
  <c r="L17" i="235"/>
  <c r="K17" i="235"/>
  <c r="L16" i="235"/>
  <c r="K16" i="235"/>
  <c r="L15" i="235"/>
  <c r="K15" i="235"/>
  <c r="L14" i="235"/>
  <c r="K14" i="235"/>
  <c r="L13" i="235"/>
  <c r="K13" i="235"/>
  <c r="L12" i="235"/>
  <c r="K12" i="235"/>
  <c r="L11" i="235"/>
  <c r="K11" i="235"/>
  <c r="L10" i="235"/>
  <c r="K10" i="235"/>
  <c r="L9" i="235"/>
  <c r="K9" i="235"/>
  <c r="L8" i="235"/>
  <c r="K8" i="235"/>
  <c r="L7" i="235"/>
  <c r="K7" i="235"/>
  <c r="L6" i="235"/>
  <c r="K6" i="235"/>
  <c r="D31" i="235"/>
  <c r="C31" i="235"/>
  <c r="D30" i="235"/>
  <c r="C30" i="235"/>
  <c r="D29" i="235"/>
  <c r="C29" i="235"/>
  <c r="D28" i="235"/>
  <c r="C28" i="235"/>
  <c r="D27" i="235"/>
  <c r="C27" i="235"/>
  <c r="D26" i="235"/>
  <c r="C26" i="235"/>
  <c r="D25" i="235"/>
  <c r="C25" i="235"/>
  <c r="D24" i="235"/>
  <c r="C24" i="235"/>
  <c r="D23" i="235"/>
  <c r="C23" i="235"/>
  <c r="D22" i="235"/>
  <c r="C22" i="235"/>
  <c r="D21" i="235"/>
  <c r="C21" i="235"/>
  <c r="D20" i="235"/>
  <c r="C20" i="235"/>
  <c r="D19" i="235"/>
  <c r="C19" i="235"/>
  <c r="D18" i="235"/>
  <c r="C18" i="235"/>
  <c r="D17" i="235"/>
  <c r="C17" i="235"/>
  <c r="D16" i="235"/>
  <c r="C16" i="235"/>
  <c r="D15" i="235"/>
  <c r="C15" i="235"/>
  <c r="D14" i="235"/>
  <c r="C14" i="235"/>
  <c r="D13" i="235"/>
  <c r="C13" i="235"/>
  <c r="D12" i="235"/>
  <c r="C12" i="235"/>
  <c r="D11" i="235"/>
  <c r="C11" i="235"/>
  <c r="D10" i="235"/>
  <c r="C10" i="235"/>
  <c r="D9" i="235"/>
  <c r="C9" i="235"/>
  <c r="D8" i="235"/>
  <c r="C8" i="235"/>
  <c r="D7" i="235"/>
  <c r="C7" i="235"/>
  <c r="D6" i="235"/>
  <c r="C6" i="235"/>
  <c r="G9" i="7"/>
  <c r="G11" i="7"/>
  <c r="G12" i="7"/>
  <c r="G13" i="7"/>
  <c r="J13" i="7" s="1"/>
  <c r="G14" i="7"/>
  <c r="J14" i="7" s="1"/>
  <c r="G15" i="7"/>
  <c r="J15" i="7" s="1"/>
  <c r="G16" i="7"/>
  <c r="G17" i="7"/>
  <c r="J17" i="7" s="1"/>
  <c r="M17" i="7" s="1"/>
  <c r="G18" i="7"/>
  <c r="J18" i="7" s="1"/>
  <c r="G19" i="7"/>
  <c r="J19" i="7" s="1"/>
  <c r="M19" i="7" s="1"/>
  <c r="P19" i="7" s="1"/>
  <c r="S19" i="7" s="1"/>
  <c r="G20" i="7"/>
  <c r="J20" i="7" s="1"/>
  <c r="M20" i="7" s="1"/>
  <c r="P20" i="7" s="1"/>
  <c r="S20" i="7" s="1"/>
  <c r="G22" i="7"/>
  <c r="J22" i="7" s="1"/>
  <c r="M22" i="7" s="1"/>
  <c r="P22" i="7" s="1"/>
  <c r="S22" i="7" s="1"/>
  <c r="G23" i="7"/>
  <c r="J23" i="7" s="1"/>
  <c r="M23" i="7" s="1"/>
  <c r="P23" i="7" s="1"/>
  <c r="S23" i="7" s="1"/>
  <c r="G24" i="7"/>
  <c r="J24" i="7" s="1"/>
  <c r="M24" i="7" s="1"/>
  <c r="P24" i="7" s="1"/>
  <c r="S24" i="7" s="1"/>
  <c r="J9" i="7"/>
  <c r="J11" i="7"/>
  <c r="M11" i="7" s="1"/>
  <c r="P11" i="7" s="1"/>
  <c r="P13" i="111" l="1"/>
  <c r="P25" i="111" s="1"/>
  <c r="M25" i="111"/>
  <c r="J16" i="7"/>
  <c r="M18" i="7"/>
  <c r="P18" i="7" s="1"/>
  <c r="M9" i="7"/>
  <c r="P9" i="7" s="1"/>
  <c r="M13" i="7"/>
  <c r="P17" i="7"/>
  <c r="M14" i="7"/>
  <c r="S11" i="7"/>
  <c r="M15" i="7"/>
  <c r="J12" i="7"/>
  <c r="M16" i="7" l="1"/>
  <c r="S17" i="7"/>
  <c r="P14" i="7"/>
  <c r="S18" i="7"/>
  <c r="P13" i="7"/>
  <c r="P15" i="7"/>
  <c r="S9" i="7"/>
  <c r="M12" i="7"/>
  <c r="P16" i="7" l="1"/>
  <c r="S14" i="7"/>
  <c r="S13" i="7"/>
  <c r="S15" i="7"/>
  <c r="P12" i="7"/>
  <c r="S16" i="7" l="1"/>
  <c r="S12" i="7"/>
  <c r="G11" i="175"/>
  <c r="G12" i="175"/>
  <c r="G13" i="175"/>
  <c r="G14" i="175"/>
  <c r="G15" i="175"/>
  <c r="G16" i="175"/>
  <c r="G17" i="175"/>
  <c r="G18" i="175"/>
  <c r="G19" i="175"/>
  <c r="G20" i="175"/>
  <c r="J20" i="175" s="1"/>
  <c r="M20" i="175" s="1"/>
  <c r="P20" i="175" s="1"/>
  <c r="S20" i="175" s="1"/>
  <c r="G22" i="175"/>
  <c r="J22" i="175" s="1"/>
  <c r="M22" i="175" s="1"/>
  <c r="P22" i="175" s="1"/>
  <c r="S22" i="175" s="1"/>
  <c r="G23" i="175"/>
  <c r="J23" i="175" s="1"/>
  <c r="M23" i="175" s="1"/>
  <c r="P23" i="175" s="1"/>
  <c r="S23" i="175" s="1"/>
  <c r="G24" i="175"/>
  <c r="J24" i="175" s="1"/>
  <c r="M24" i="175" s="1"/>
  <c r="P24" i="175" s="1"/>
  <c r="S24" i="175" s="1"/>
  <c r="B23" i="175"/>
  <c r="A368" i="1" l="1"/>
  <c r="A346" i="1"/>
  <c r="A324" i="1"/>
  <c r="A280" i="1"/>
  <c r="A28" i="73"/>
  <c r="M9" i="204" l="1"/>
  <c r="L9" i="204"/>
  <c r="K9" i="204"/>
  <c r="J9" i="204"/>
  <c r="I9" i="204"/>
  <c r="H9" i="204"/>
  <c r="G9" i="204"/>
  <c r="F9" i="204"/>
  <c r="E9" i="204"/>
  <c r="D24" i="73"/>
  <c r="D24" i="7" s="1"/>
  <c r="D23" i="73"/>
  <c r="D22" i="73"/>
  <c r="B22" i="73"/>
  <c r="B24" i="73"/>
  <c r="A24" i="73"/>
  <c r="A24" i="7" s="1"/>
  <c r="A23" i="73"/>
  <c r="A22" i="73"/>
  <c r="A19" i="73"/>
  <c r="B19" i="73"/>
  <c r="D19" i="73"/>
  <c r="A20" i="73"/>
  <c r="B20" i="73"/>
  <c r="D20" i="73"/>
  <c r="F20" i="73" s="1"/>
  <c r="D24" i="158"/>
  <c r="G24" i="158" s="1"/>
  <c r="J24" i="158" s="1"/>
  <c r="M24" i="158" s="1"/>
  <c r="D23" i="158"/>
  <c r="G23" i="158" s="1"/>
  <c r="J23" i="158" s="1"/>
  <c r="M23" i="158" s="1"/>
  <c r="A23" i="158"/>
  <c r="B23" i="158"/>
  <c r="A24" i="158"/>
  <c r="B24" i="158"/>
  <c r="B20" i="7" l="1"/>
  <c r="B20" i="175"/>
  <c r="F19" i="73"/>
  <c r="G19" i="73" s="1"/>
  <c r="D19" i="7"/>
  <c r="D19" i="175"/>
  <c r="A19" i="7"/>
  <c r="A19" i="175"/>
  <c r="A246" i="1"/>
  <c r="A23" i="7"/>
  <c r="A23" i="175"/>
  <c r="A334" i="1"/>
  <c r="D22" i="7"/>
  <c r="D22" i="175"/>
  <c r="F22" i="73"/>
  <c r="D136" i="62"/>
  <c r="D24" i="111"/>
  <c r="D20" i="7"/>
  <c r="D20" i="175"/>
  <c r="A20" i="7"/>
  <c r="A20" i="175"/>
  <c r="A268" i="1"/>
  <c r="B19" i="7"/>
  <c r="B19" i="175"/>
  <c r="A22" i="7"/>
  <c r="A22" i="111" s="1"/>
  <c r="A22" i="175"/>
  <c r="A312" i="1"/>
  <c r="A24" i="111"/>
  <c r="A136" i="62"/>
  <c r="B22" i="7"/>
  <c r="B22" i="111" s="1"/>
  <c r="B22" i="175"/>
  <c r="D23" i="7"/>
  <c r="D23" i="175"/>
  <c r="F23" i="73"/>
  <c r="G23" i="73" s="1"/>
  <c r="B24" i="175"/>
  <c r="B24" i="7"/>
  <c r="A24" i="175"/>
  <c r="A356" i="1"/>
  <c r="D24" i="175"/>
  <c r="F24" i="73"/>
  <c r="G22" i="73"/>
  <c r="G20" i="73"/>
  <c r="P24" i="158"/>
  <c r="S24" i="158"/>
  <c r="P23" i="158"/>
  <c r="S23" i="158"/>
  <c r="M12" i="236"/>
  <c r="H217" i="248"/>
  <c r="H216" i="248"/>
  <c r="H215" i="248"/>
  <c r="H214" i="248"/>
  <c r="H213" i="248"/>
  <c r="H212" i="248"/>
  <c r="H211" i="248"/>
  <c r="H191" i="248"/>
  <c r="H190" i="248"/>
  <c r="H189" i="248"/>
  <c r="H188" i="248"/>
  <c r="H187" i="248"/>
  <c r="H186" i="248"/>
  <c r="H185" i="248"/>
  <c r="H168" i="248"/>
  <c r="H167" i="248"/>
  <c r="H166" i="248"/>
  <c r="H165" i="248"/>
  <c r="H164" i="248"/>
  <c r="H163" i="248"/>
  <c r="H162" i="248"/>
  <c r="H142" i="248"/>
  <c r="H141" i="248"/>
  <c r="H140" i="248"/>
  <c r="H139" i="248"/>
  <c r="H138" i="248"/>
  <c r="H137" i="248"/>
  <c r="H136" i="248"/>
  <c r="H119" i="248"/>
  <c r="H118" i="248"/>
  <c r="H117" i="248"/>
  <c r="H116" i="248"/>
  <c r="H115" i="248"/>
  <c r="H114" i="248"/>
  <c r="H113" i="248"/>
  <c r="H93" i="248"/>
  <c r="H92" i="248"/>
  <c r="H91" i="248"/>
  <c r="H90" i="248"/>
  <c r="H89" i="248"/>
  <c r="H88" i="248"/>
  <c r="H87" i="248"/>
  <c r="H70" i="248"/>
  <c r="H69" i="248"/>
  <c r="H68" i="248"/>
  <c r="H67" i="248"/>
  <c r="H66" i="248"/>
  <c r="H65" i="248"/>
  <c r="H64" i="248"/>
  <c r="H45" i="248"/>
  <c r="H44" i="248"/>
  <c r="H43" i="248"/>
  <c r="H42" i="248"/>
  <c r="H41" i="248"/>
  <c r="H40" i="248"/>
  <c r="H39" i="248"/>
  <c r="C202" i="248"/>
  <c r="C220" i="248" s="1"/>
  <c r="N219" i="248" s="1"/>
  <c r="C176" i="248"/>
  <c r="C194" i="248" s="1"/>
  <c r="N193" i="248" s="1"/>
  <c r="C153" i="248"/>
  <c r="C127" i="248"/>
  <c r="C104" i="248"/>
  <c r="C78" i="248"/>
  <c r="C96" i="248" s="1"/>
  <c r="N95" i="248" s="1"/>
  <c r="C55" i="248"/>
  <c r="C30" i="248"/>
  <c r="F25" i="72"/>
  <c r="E206" i="248"/>
  <c r="C206" i="248" s="1"/>
  <c r="C204" i="248"/>
  <c r="E180" i="248"/>
  <c r="C180" i="248" s="1"/>
  <c r="C178" i="248"/>
  <c r="E157" i="248"/>
  <c r="C157" i="248" s="1"/>
  <c r="C155" i="248"/>
  <c r="C171" i="248"/>
  <c r="N170" i="248" s="1"/>
  <c r="E131" i="248"/>
  <c r="C131" i="248" s="1"/>
  <c r="C129" i="248"/>
  <c r="C145" i="248"/>
  <c r="N144" i="248" s="1"/>
  <c r="E108" i="248"/>
  <c r="C108" i="248" s="1"/>
  <c r="C106" i="248"/>
  <c r="E110" i="248" s="1"/>
  <c r="C110" i="248" s="1"/>
  <c r="C122" i="248"/>
  <c r="N121" i="248" s="1"/>
  <c r="E82" i="248"/>
  <c r="C82" i="248" s="1"/>
  <c r="C80" i="248"/>
  <c r="E84" i="248" s="1"/>
  <c r="C84" i="248" s="1"/>
  <c r="E59" i="248"/>
  <c r="C59" i="248"/>
  <c r="C57" i="248"/>
  <c r="E61" i="248" s="1"/>
  <c r="C61" i="248" s="1"/>
  <c r="C73" i="248"/>
  <c r="N72" i="248" s="1"/>
  <c r="E34" i="248"/>
  <c r="C34" i="248"/>
  <c r="C32" i="248"/>
  <c r="E36" i="248" s="1"/>
  <c r="C36" i="248" s="1"/>
  <c r="C48" i="248"/>
  <c r="N47" i="248" s="1"/>
  <c r="S23" i="248"/>
  <c r="H23" i="248"/>
  <c r="V22" i="248"/>
  <c r="U22" i="248"/>
  <c r="S22" i="248"/>
  <c r="H22" i="248"/>
  <c r="S21" i="248"/>
  <c r="H21" i="248"/>
  <c r="S20" i="248"/>
  <c r="H20" i="248"/>
  <c r="S19" i="248"/>
  <c r="H19" i="248"/>
  <c r="P12" i="248"/>
  <c r="E12" i="248"/>
  <c r="C12" i="248" s="1"/>
  <c r="C10" i="248"/>
  <c r="P9" i="248"/>
  <c r="C8" i="248"/>
  <c r="C26" i="248" s="1"/>
  <c r="N25" i="248" s="1"/>
  <c r="D23" i="111" l="1"/>
  <c r="D128" i="62"/>
  <c r="A20" i="111"/>
  <c r="A104" i="62"/>
  <c r="B19" i="111"/>
  <c r="B96" i="62"/>
  <c r="D120" i="62"/>
  <c r="D22" i="111"/>
  <c r="A19" i="111"/>
  <c r="A96" i="62"/>
  <c r="D19" i="111"/>
  <c r="D96" i="62"/>
  <c r="D20" i="111"/>
  <c r="D104" i="62"/>
  <c r="A23" i="111"/>
  <c r="A128" i="62"/>
  <c r="B104" i="62"/>
  <c r="B20" i="111"/>
  <c r="B24" i="111"/>
  <c r="B136" i="62"/>
  <c r="V24" i="158"/>
  <c r="V23" i="158"/>
  <c r="C31" i="248"/>
  <c r="E35" i="248" s="1"/>
  <c r="C35" i="248" s="1"/>
  <c r="C33" i="248" s="1"/>
  <c r="C79" i="248"/>
  <c r="E83" i="248" s="1"/>
  <c r="C83" i="248" s="1"/>
  <c r="C81" i="248" s="1"/>
  <c r="E182" i="248"/>
  <c r="C182" i="248" s="1"/>
  <c r="C177" i="248" s="1"/>
  <c r="E181" i="248" s="1"/>
  <c r="C181" i="248" s="1"/>
  <c r="C179" i="248" s="1"/>
  <c r="E133" i="248"/>
  <c r="C133" i="248" s="1"/>
  <c r="C128" i="248" s="1"/>
  <c r="E132" i="248" s="1"/>
  <c r="C132" i="248" s="1"/>
  <c r="C130" i="248" s="1"/>
  <c r="C56" i="248"/>
  <c r="E60" i="248" s="1"/>
  <c r="C60" i="248" s="1"/>
  <c r="C58" i="248" s="1"/>
  <c r="E14" i="248"/>
  <c r="C14" i="248" s="1"/>
  <c r="C9" i="248" s="1"/>
  <c r="E13" i="248" s="1"/>
  <c r="C13" i="248" s="1"/>
  <c r="C11" i="248" s="1"/>
  <c r="E208" i="248"/>
  <c r="C208" i="248" s="1"/>
  <c r="C203" i="248" s="1"/>
  <c r="E207" i="248" s="1"/>
  <c r="C207" i="248" s="1"/>
  <c r="C205" i="248" s="1"/>
  <c r="E159" i="248"/>
  <c r="C159" i="248" s="1"/>
  <c r="C154" i="248" s="1"/>
  <c r="E158" i="248" s="1"/>
  <c r="C158" i="248" s="1"/>
  <c r="C156" i="248" s="1"/>
  <c r="C105" i="248"/>
  <c r="E109" i="248" s="1"/>
  <c r="C109" i="248" s="1"/>
  <c r="C107" i="248" s="1"/>
  <c r="C62" i="248" l="1"/>
  <c r="Q63" i="248" s="1"/>
  <c r="C15" i="248"/>
  <c r="C16" i="248"/>
  <c r="C134" i="248"/>
  <c r="Q135" i="248" s="1"/>
  <c r="C183" i="248"/>
  <c r="Q184" i="248" s="1"/>
  <c r="C85" i="248"/>
  <c r="Q86" i="248" s="1"/>
  <c r="C209" i="248"/>
  <c r="Q210" i="248" s="1"/>
  <c r="C160" i="248"/>
  <c r="Q161" i="248" s="1"/>
  <c r="C37" i="248"/>
  <c r="Q38" i="248" s="1"/>
  <c r="C112" i="248"/>
  <c r="C111" i="248"/>
  <c r="Q112" i="248" s="1"/>
  <c r="C86" i="248" l="1"/>
  <c r="C63" i="248"/>
  <c r="C184" i="248"/>
  <c r="C38" i="248"/>
  <c r="C161" i="248"/>
  <c r="C135" i="248"/>
  <c r="E17" i="248"/>
  <c r="C210" i="248"/>
  <c r="E113" i="248"/>
  <c r="O112" i="248"/>
  <c r="S112" i="248" s="1"/>
  <c r="W112" i="248" s="1"/>
  <c r="N113" i="248"/>
  <c r="O86" i="248"/>
  <c r="S86" i="248" s="1"/>
  <c r="W86" i="248" s="1"/>
  <c r="E87" i="248"/>
  <c r="N87" i="248"/>
  <c r="E64" i="248"/>
  <c r="N64" i="248"/>
  <c r="O63" i="248"/>
  <c r="S63" i="248" s="1"/>
  <c r="W63" i="248" s="1"/>
  <c r="O210" i="248" l="1"/>
  <c r="S210" i="248" s="1"/>
  <c r="W210" i="248" s="1"/>
  <c r="N211" i="248"/>
  <c r="E211" i="248"/>
  <c r="E93" i="248"/>
  <c r="C93" i="248" s="1"/>
  <c r="E88" i="248"/>
  <c r="C88" i="248" s="1"/>
  <c r="E91" i="248" s="1"/>
  <c r="E92" i="248"/>
  <c r="C92" i="248" s="1"/>
  <c r="E90" i="248"/>
  <c r="C90" i="248" s="1"/>
  <c r="C87" i="248"/>
  <c r="E89" i="248"/>
  <c r="C89" i="248" s="1"/>
  <c r="E22" i="248"/>
  <c r="C22" i="248" s="1"/>
  <c r="E20" i="248"/>
  <c r="C20" i="248" s="1"/>
  <c r="C17" i="248"/>
  <c r="E23" i="248"/>
  <c r="C23" i="248" s="1"/>
  <c r="E19" i="248"/>
  <c r="C19" i="248" s="1"/>
  <c r="E18" i="248"/>
  <c r="C18" i="248" s="1"/>
  <c r="E21" i="248" s="1"/>
  <c r="C21" i="248" s="1"/>
  <c r="O135" i="248"/>
  <c r="S135" i="248" s="1"/>
  <c r="W135" i="248" s="1"/>
  <c r="N136" i="248"/>
  <c r="E136" i="248"/>
  <c r="E118" i="248"/>
  <c r="C118" i="248" s="1"/>
  <c r="E116" i="248"/>
  <c r="C116" i="248" s="1"/>
  <c r="C113" i="248"/>
  <c r="E115" i="248"/>
  <c r="C115" i="248" s="1"/>
  <c r="E119" i="248"/>
  <c r="C119" i="248" s="1"/>
  <c r="E114" i="248"/>
  <c r="C114" i="248" s="1"/>
  <c r="E117" i="248" s="1"/>
  <c r="N162" i="248"/>
  <c r="E162" i="248"/>
  <c r="O161" i="248"/>
  <c r="S161" i="248" s="1"/>
  <c r="W161" i="248" s="1"/>
  <c r="N39" i="248"/>
  <c r="E39" i="248"/>
  <c r="C222" i="248"/>
  <c r="O38" i="248"/>
  <c r="S38" i="248" s="1"/>
  <c r="W38" i="248" s="1"/>
  <c r="E66" i="248"/>
  <c r="C66" i="248" s="1"/>
  <c r="E70" i="248"/>
  <c r="C70" i="248" s="1"/>
  <c r="E65" i="248"/>
  <c r="C65" i="248" s="1"/>
  <c r="E68" i="248" s="1"/>
  <c r="E69" i="248"/>
  <c r="C69" i="248" s="1"/>
  <c r="E67" i="248"/>
  <c r="C67" i="248" s="1"/>
  <c r="C64" i="248"/>
  <c r="O184" i="248"/>
  <c r="S184" i="248" s="1"/>
  <c r="W184" i="248" s="1"/>
  <c r="N185" i="248"/>
  <c r="E185" i="248"/>
  <c r="O68" i="248" l="1"/>
  <c r="S68" i="248" s="1"/>
  <c r="C68" i="248"/>
  <c r="C71" i="248" s="1"/>
  <c r="C72" i="248" s="1"/>
  <c r="O72" i="248" s="1"/>
  <c r="C91" i="248"/>
  <c r="O91" i="248"/>
  <c r="S91" i="248" s="1"/>
  <c r="C185" i="248"/>
  <c r="E187" i="248"/>
  <c r="C187" i="248" s="1"/>
  <c r="E191" i="248"/>
  <c r="C191" i="248" s="1"/>
  <c r="E186" i="248"/>
  <c r="C186" i="248" s="1"/>
  <c r="E189" i="248" s="1"/>
  <c r="E190" i="248"/>
  <c r="C190" i="248" s="1"/>
  <c r="E188" i="248"/>
  <c r="C188" i="248" s="1"/>
  <c r="C24" i="248"/>
  <c r="C25" i="248" s="1"/>
  <c r="O25" i="248" s="1"/>
  <c r="E44" i="248"/>
  <c r="C44" i="248" s="1"/>
  <c r="E42" i="248"/>
  <c r="C42" i="248" s="1"/>
  <c r="C39" i="248"/>
  <c r="E41" i="248"/>
  <c r="C41" i="248" s="1"/>
  <c r="E45" i="248"/>
  <c r="C45" i="248" s="1"/>
  <c r="E40" i="248"/>
  <c r="C40" i="248" s="1"/>
  <c r="E43" i="248" s="1"/>
  <c r="E138" i="248"/>
  <c r="C138" i="248" s="1"/>
  <c r="E142" i="248"/>
  <c r="C142" i="248" s="1"/>
  <c r="E137" i="248"/>
  <c r="C137" i="248" s="1"/>
  <c r="E140" i="248" s="1"/>
  <c r="E141" i="248"/>
  <c r="C141" i="248" s="1"/>
  <c r="E139" i="248"/>
  <c r="C139" i="248" s="1"/>
  <c r="C136" i="248"/>
  <c r="E217" i="248"/>
  <c r="C217" i="248" s="1"/>
  <c r="E212" i="248"/>
  <c r="C212" i="248" s="1"/>
  <c r="E215" i="248" s="1"/>
  <c r="E216" i="248"/>
  <c r="C216" i="248" s="1"/>
  <c r="E214" i="248"/>
  <c r="C214" i="248" s="1"/>
  <c r="C211" i="248"/>
  <c r="E213" i="248"/>
  <c r="C213" i="248" s="1"/>
  <c r="E167" i="248"/>
  <c r="C167" i="248" s="1"/>
  <c r="E165" i="248"/>
  <c r="C165" i="248" s="1"/>
  <c r="C162" i="248"/>
  <c r="E164" i="248"/>
  <c r="C164" i="248" s="1"/>
  <c r="E168" i="248"/>
  <c r="C168" i="248" s="1"/>
  <c r="E163" i="248"/>
  <c r="C163" i="248" s="1"/>
  <c r="E166" i="248" s="1"/>
  <c r="O117" i="248"/>
  <c r="S117" i="248" s="1"/>
  <c r="C117" i="248"/>
  <c r="C120" i="248" s="1"/>
  <c r="C121" i="248" s="1"/>
  <c r="O121" i="248" s="1"/>
  <c r="C94" i="248"/>
  <c r="C95" i="248" s="1"/>
  <c r="O95" i="248" s="1"/>
  <c r="O189" i="248" l="1"/>
  <c r="S189" i="248" s="1"/>
  <c r="C189" i="248"/>
  <c r="C192" i="248" s="1"/>
  <c r="C193" i="248" s="1"/>
  <c r="O193" i="248" s="1"/>
  <c r="O140" i="248"/>
  <c r="S140" i="248" s="1"/>
  <c r="C140" i="248"/>
  <c r="C143" i="248" s="1"/>
  <c r="C144" i="248" s="1"/>
  <c r="O144" i="248" s="1"/>
  <c r="C166" i="248"/>
  <c r="C169" i="248" s="1"/>
  <c r="C170" i="248" s="1"/>
  <c r="O170" i="248" s="1"/>
  <c r="O166" i="248"/>
  <c r="S166" i="248" s="1"/>
  <c r="C215" i="248"/>
  <c r="C218" i="248" s="1"/>
  <c r="C219" i="248" s="1"/>
  <c r="O219" i="248" s="1"/>
  <c r="O215" i="248"/>
  <c r="S215" i="248" s="1"/>
  <c r="O43" i="248"/>
  <c r="S43" i="248" s="1"/>
  <c r="C43" i="248"/>
  <c r="C46" i="248" s="1"/>
  <c r="C223" i="248" l="1"/>
  <c r="C47" i="248"/>
  <c r="C224" i="248" l="1"/>
  <c r="O47" i="248"/>
  <c r="K15" i="72" l="1"/>
  <c r="I7" i="92" l="1"/>
  <c r="F9" i="91" l="1"/>
  <c r="E6" i="204"/>
  <c r="E7" i="204"/>
  <c r="E8" i="204" s="1"/>
  <c r="E10" i="204"/>
  <c r="E12" i="204"/>
  <c r="E16" i="204" s="1"/>
  <c r="E11" i="204" s="1"/>
  <c r="M12" i="204"/>
  <c r="M10" i="204"/>
  <c r="M8" i="204"/>
  <c r="I10" i="92"/>
  <c r="M16" i="204" l="1"/>
  <c r="M11" i="204" s="1"/>
  <c r="E15" i="204" l="1"/>
  <c r="E17" i="204" l="1"/>
  <c r="E18" i="204" s="1"/>
  <c r="E19" i="204"/>
  <c r="M15" i="204"/>
  <c r="J12" i="246"/>
  <c r="M17" i="204" l="1"/>
  <c r="M18" i="204" s="1"/>
  <c r="M19" i="204"/>
  <c r="H52" i="246"/>
  <c r="H45" i="246"/>
  <c r="H46" i="246" s="1"/>
  <c r="H30" i="246"/>
  <c r="H32" i="246" s="1"/>
  <c r="A4" i="244"/>
  <c r="C15" i="243"/>
  <c r="C8" i="243"/>
  <c r="C5" i="243"/>
  <c r="I9" i="240"/>
  <c r="A7" i="240"/>
  <c r="A15" i="239"/>
  <c r="A14" i="239"/>
  <c r="C13" i="239"/>
  <c r="A1" i="239"/>
  <c r="E29" i="235"/>
  <c r="H26" i="235"/>
  <c r="E25" i="235"/>
  <c r="E20" i="235"/>
  <c r="E19" i="235"/>
  <c r="E18" i="235"/>
  <c r="E15" i="235"/>
  <c r="E14" i="235"/>
  <c r="H13" i="235"/>
  <c r="E9" i="235"/>
  <c r="E7" i="235"/>
  <c r="G11" i="236"/>
  <c r="F11" i="236"/>
  <c r="E11" i="236"/>
  <c r="D11" i="236"/>
  <c r="C11" i="236"/>
  <c r="B11" i="236"/>
  <c r="H10" i="236"/>
  <c r="H9" i="236"/>
  <c r="H8" i="236"/>
  <c r="G7" i="236"/>
  <c r="G12" i="236" s="1"/>
  <c r="F7" i="236"/>
  <c r="F12" i="236" s="1"/>
  <c r="E7" i="236"/>
  <c r="E12" i="236" s="1"/>
  <c r="D7" i="236"/>
  <c r="D12" i="236" s="1"/>
  <c r="C7" i="236"/>
  <c r="C12" i="236" s="1"/>
  <c r="B7" i="236"/>
  <c r="P31" i="235"/>
  <c r="T31" i="235" s="1"/>
  <c r="H31" i="235"/>
  <c r="P30" i="235"/>
  <c r="M30" i="235"/>
  <c r="H30" i="235"/>
  <c r="P29" i="235"/>
  <c r="T29" i="235" s="1"/>
  <c r="H29" i="235"/>
  <c r="P28" i="235"/>
  <c r="M28" i="235"/>
  <c r="H28" i="235"/>
  <c r="P27" i="235"/>
  <c r="H27" i="235"/>
  <c r="P26" i="235"/>
  <c r="P25" i="235"/>
  <c r="H25" i="235"/>
  <c r="P24" i="235"/>
  <c r="H24" i="235"/>
  <c r="T24" i="235" s="1"/>
  <c r="P23" i="235"/>
  <c r="M23" i="235"/>
  <c r="H23" i="235"/>
  <c r="P22" i="235"/>
  <c r="H22" i="235"/>
  <c r="P21" i="235"/>
  <c r="T21" i="235" s="1"/>
  <c r="H21" i="235"/>
  <c r="S21" i="235" s="1"/>
  <c r="P20" i="235"/>
  <c r="S20" i="235" s="1"/>
  <c r="H20" i="235"/>
  <c r="P19" i="235"/>
  <c r="H19" i="235"/>
  <c r="P18" i="235"/>
  <c r="H18" i="235"/>
  <c r="S18" i="235" s="1"/>
  <c r="P17" i="235"/>
  <c r="H17" i="235"/>
  <c r="S17" i="235" s="1"/>
  <c r="P16" i="235"/>
  <c r="T16" i="235" s="1"/>
  <c r="H16" i="235"/>
  <c r="P15" i="235"/>
  <c r="M15" i="235"/>
  <c r="H15" i="235"/>
  <c r="P14" i="235"/>
  <c r="H14" i="235"/>
  <c r="T14" i="235" s="1"/>
  <c r="P13" i="235"/>
  <c r="P12" i="235"/>
  <c r="H12" i="235"/>
  <c r="P11" i="235"/>
  <c r="H11" i="235"/>
  <c r="P10" i="235"/>
  <c r="H10" i="235"/>
  <c r="S10" i="235" s="1"/>
  <c r="P9" i="235"/>
  <c r="H9" i="235"/>
  <c r="P8" i="235"/>
  <c r="H8" i="235"/>
  <c r="P7" i="235"/>
  <c r="T7" i="235" s="1"/>
  <c r="H7" i="235"/>
  <c r="P6" i="235"/>
  <c r="H6" i="235"/>
  <c r="H44" i="101"/>
  <c r="H34" i="101"/>
  <c r="H12" i="216"/>
  <c r="H10" i="217"/>
  <c r="H9" i="217"/>
  <c r="K10" i="204"/>
  <c r="H10" i="204"/>
  <c r="H11" i="207"/>
  <c r="H10" i="207"/>
  <c r="H9" i="207"/>
  <c r="H8" i="207"/>
  <c r="H7" i="207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F8" i="84"/>
  <c r="J7" i="46"/>
  <c r="J9" i="46"/>
  <c r="J11" i="46"/>
  <c r="J12" i="46"/>
  <c r="J14" i="46"/>
  <c r="J15" i="46"/>
  <c r="J16" i="46"/>
  <c r="F18" i="46"/>
  <c r="M32" i="62"/>
  <c r="G8" i="92"/>
  <c r="G9" i="92"/>
  <c r="M83" i="62"/>
  <c r="G11" i="92"/>
  <c r="G12" i="92"/>
  <c r="I13" i="92"/>
  <c r="G13" i="92"/>
  <c r="H7" i="212"/>
  <c r="H9" i="212"/>
  <c r="H13" i="212"/>
  <c r="H8" i="218"/>
  <c r="H9" i="218"/>
  <c r="H10" i="218"/>
  <c r="H11" i="218"/>
  <c r="H12" i="218"/>
  <c r="H14" i="218"/>
  <c r="D21" i="224"/>
  <c r="E21" i="224"/>
  <c r="F21" i="224"/>
  <c r="G21" i="224"/>
  <c r="H7" i="215"/>
  <c r="H8" i="215"/>
  <c r="H10" i="215"/>
  <c r="H12" i="215"/>
  <c r="H7" i="216"/>
  <c r="H8" i="216"/>
  <c r="H9" i="216"/>
  <c r="H10" i="216"/>
  <c r="H11" i="216"/>
  <c r="H7" i="217"/>
  <c r="H8" i="217"/>
  <c r="H7" i="208"/>
  <c r="F7" i="229"/>
  <c r="F8" i="229"/>
  <c r="F9" i="229"/>
  <c r="F11" i="229"/>
  <c r="F10" i="229"/>
  <c r="G16" i="229"/>
  <c r="F12" i="229"/>
  <c r="F13" i="229"/>
  <c r="H7" i="209"/>
  <c r="H10" i="163"/>
  <c r="H11" i="163"/>
  <c r="H12" i="163"/>
  <c r="G8" i="205"/>
  <c r="G11" i="205" s="1"/>
  <c r="O8" i="111" s="1"/>
  <c r="O10" i="111" s="1"/>
  <c r="Q10" i="111" s="1"/>
  <c r="G8" i="116"/>
  <c r="G11" i="116" s="1"/>
  <c r="L8" i="111" s="1"/>
  <c r="L10" i="111" s="1"/>
  <c r="N10" i="111" s="1"/>
  <c r="I8" i="111"/>
  <c r="H7" i="141"/>
  <c r="H9" i="141"/>
  <c r="V1" i="111"/>
  <c r="G8" i="111"/>
  <c r="X8" i="111" s="1"/>
  <c r="X12" i="111"/>
  <c r="X13" i="111"/>
  <c r="X14" i="111"/>
  <c r="X15" i="111"/>
  <c r="X16" i="111"/>
  <c r="X19" i="111"/>
  <c r="V26" i="111"/>
  <c r="V27" i="111"/>
  <c r="V28" i="111"/>
  <c r="V29" i="111"/>
  <c r="V30" i="111"/>
  <c r="M9" i="62"/>
  <c r="K16" i="113" s="1"/>
  <c r="J16" i="113" s="1"/>
  <c r="M10" i="62"/>
  <c r="M11" i="62"/>
  <c r="M12" i="62"/>
  <c r="M13" i="62"/>
  <c r="M17" i="62"/>
  <c r="M18" i="62"/>
  <c r="M20" i="62"/>
  <c r="M21" i="62"/>
  <c r="M33" i="62"/>
  <c r="M34" i="62"/>
  <c r="M36" i="62"/>
  <c r="M37" i="62"/>
  <c r="M41" i="62"/>
  <c r="M42" i="62"/>
  <c r="M44" i="62"/>
  <c r="M45" i="62"/>
  <c r="M49" i="62"/>
  <c r="M50" i="62"/>
  <c r="M52" i="62"/>
  <c r="M53" i="62"/>
  <c r="M57" i="62"/>
  <c r="M58" i="62"/>
  <c r="M60" i="62"/>
  <c r="M61" i="62"/>
  <c r="M65" i="62"/>
  <c r="M66" i="62"/>
  <c r="M68" i="62"/>
  <c r="M69" i="62"/>
  <c r="M73" i="62"/>
  <c r="M74" i="62"/>
  <c r="M76" i="62"/>
  <c r="M77" i="62"/>
  <c r="M81" i="62"/>
  <c r="M82" i="62"/>
  <c r="M84" i="62"/>
  <c r="M85" i="62"/>
  <c r="M89" i="62"/>
  <c r="M90" i="62"/>
  <c r="M92" i="62"/>
  <c r="M93" i="62"/>
  <c r="M94" i="62"/>
  <c r="M121" i="62"/>
  <c r="M122" i="62"/>
  <c r="M124" i="62"/>
  <c r="M125" i="62"/>
  <c r="A8" i="158"/>
  <c r="Z8" i="158" s="1"/>
  <c r="B8" i="158"/>
  <c r="AA8" i="158" s="1"/>
  <c r="D8" i="158"/>
  <c r="A9" i="158"/>
  <c r="Z9" i="158" s="1"/>
  <c r="B9" i="158"/>
  <c r="AA9" i="158" s="1"/>
  <c r="D9" i="158"/>
  <c r="G9" i="158" s="1"/>
  <c r="J9" i="158" s="1"/>
  <c r="M9" i="158" s="1"/>
  <c r="A11" i="158"/>
  <c r="Z11" i="158" s="1"/>
  <c r="B11" i="158"/>
  <c r="AA11" i="158" s="1"/>
  <c r="D11" i="158"/>
  <c r="AB11" i="158" s="1"/>
  <c r="A12" i="158"/>
  <c r="Z12" i="158" s="1"/>
  <c r="B12" i="158"/>
  <c r="AA12" i="158" s="1"/>
  <c r="D12" i="158"/>
  <c r="AB12" i="158" s="1"/>
  <c r="A13" i="158"/>
  <c r="Z13" i="158" s="1"/>
  <c r="B13" i="158"/>
  <c r="AA13" i="158" s="1"/>
  <c r="D13" i="158"/>
  <c r="A14" i="158"/>
  <c r="Z14" i="158" s="1"/>
  <c r="B14" i="158"/>
  <c r="AA14" i="158" s="1"/>
  <c r="D14" i="158"/>
  <c r="A15" i="158"/>
  <c r="Z15" i="158" s="1"/>
  <c r="B15" i="158"/>
  <c r="AA15" i="158" s="1"/>
  <c r="D15" i="158"/>
  <c r="G15" i="158" s="1"/>
  <c r="J15" i="158" s="1"/>
  <c r="M15" i="158" s="1"/>
  <c r="A16" i="158"/>
  <c r="Z16" i="158" s="1"/>
  <c r="B16" i="158"/>
  <c r="AA16" i="158" s="1"/>
  <c r="D16" i="158"/>
  <c r="G16" i="158" s="1"/>
  <c r="J16" i="158" s="1"/>
  <c r="M16" i="158" s="1"/>
  <c r="P16" i="158" s="1"/>
  <c r="V16" i="158" s="1"/>
  <c r="A17" i="158"/>
  <c r="Z17" i="158" s="1"/>
  <c r="B17" i="158"/>
  <c r="AA17" i="158" s="1"/>
  <c r="D17" i="158"/>
  <c r="G17" i="158" s="1"/>
  <c r="J17" i="158" s="1"/>
  <c r="M17" i="158" s="1"/>
  <c r="A18" i="158"/>
  <c r="Z18" i="158" s="1"/>
  <c r="B18" i="158"/>
  <c r="AA18" i="158" s="1"/>
  <c r="D18" i="158"/>
  <c r="G18" i="158" s="1"/>
  <c r="J18" i="158" s="1"/>
  <c r="M18" i="158" s="1"/>
  <c r="A22" i="158"/>
  <c r="Z22" i="158" s="1"/>
  <c r="B22" i="158"/>
  <c r="AA22" i="158" s="1"/>
  <c r="AB22" i="158"/>
  <c r="Z25" i="158"/>
  <c r="C12" i="121"/>
  <c r="D12" i="121"/>
  <c r="E12" i="121"/>
  <c r="F12" i="121"/>
  <c r="G12" i="121"/>
  <c r="H12" i="121"/>
  <c r="I12" i="121"/>
  <c r="J12" i="121"/>
  <c r="K12" i="121"/>
  <c r="L12" i="121"/>
  <c r="N8" i="121"/>
  <c r="N9" i="121"/>
  <c r="N10" i="121"/>
  <c r="C11" i="121"/>
  <c r="D11" i="121"/>
  <c r="E11" i="121"/>
  <c r="F11" i="121"/>
  <c r="G11" i="121"/>
  <c r="H11" i="121"/>
  <c r="I11" i="121"/>
  <c r="J11" i="121"/>
  <c r="K11" i="121"/>
  <c r="L11" i="121"/>
  <c r="M11" i="121"/>
  <c r="A26" i="72"/>
  <c r="G6" i="91"/>
  <c r="G9" i="91"/>
  <c r="F6" i="204"/>
  <c r="G6" i="204"/>
  <c r="H6" i="204"/>
  <c r="I6" i="204"/>
  <c r="J6" i="204"/>
  <c r="K6" i="204"/>
  <c r="L6" i="204"/>
  <c r="F7" i="204"/>
  <c r="G7" i="204" s="1"/>
  <c r="G10" i="204"/>
  <c r="I10" i="204"/>
  <c r="L10" i="204"/>
  <c r="D20" i="204"/>
  <c r="D21" i="204"/>
  <c r="D23" i="204"/>
  <c r="D24" i="204"/>
  <c r="K5" i="73"/>
  <c r="A8" i="73"/>
  <c r="A8" i="7" s="1"/>
  <c r="B8" i="73"/>
  <c r="B8" i="7" s="1"/>
  <c r="D8" i="73"/>
  <c r="A9" i="73"/>
  <c r="B9" i="73"/>
  <c r="D9" i="73"/>
  <c r="H9" i="73"/>
  <c r="H10" i="73" s="1"/>
  <c r="I10" i="73" s="1"/>
  <c r="E228" i="1" s="1"/>
  <c r="F10" i="7" s="1"/>
  <c r="A11" i="73"/>
  <c r="B11" i="73"/>
  <c r="D11" i="73"/>
  <c r="A12" i="73"/>
  <c r="B12" i="73"/>
  <c r="D12" i="73"/>
  <c r="A13" i="73"/>
  <c r="B13" i="73"/>
  <c r="D13" i="73"/>
  <c r="A14" i="73"/>
  <c r="B14" i="73"/>
  <c r="D14" i="73"/>
  <c r="A15" i="73"/>
  <c r="B15" i="73"/>
  <c r="D15" i="73"/>
  <c r="A16" i="73"/>
  <c r="B16" i="73"/>
  <c r="D16" i="73"/>
  <c r="A17" i="73"/>
  <c r="B17" i="73"/>
  <c r="D17" i="73"/>
  <c r="A18" i="73"/>
  <c r="B18" i="73"/>
  <c r="D18" i="73"/>
  <c r="M30" i="73"/>
  <c r="K37" i="73"/>
  <c r="I4" i="1"/>
  <c r="A16" i="1"/>
  <c r="A38" i="1"/>
  <c r="A60" i="1"/>
  <c r="A82" i="1"/>
  <c r="A104" i="1"/>
  <c r="A126" i="1"/>
  <c r="A148" i="1"/>
  <c r="A170" i="1"/>
  <c r="A192" i="1"/>
  <c r="A214" i="1"/>
  <c r="A258" i="1"/>
  <c r="G8" i="175"/>
  <c r="J8" i="175" s="1"/>
  <c r="G9" i="175"/>
  <c r="J9" i="175" s="1"/>
  <c r="M9" i="175" s="1"/>
  <c r="P9" i="175" s="1"/>
  <c r="S9" i="175" s="1"/>
  <c r="J11" i="175"/>
  <c r="M11" i="175" s="1"/>
  <c r="J12" i="175"/>
  <c r="J13" i="175"/>
  <c r="M13" i="175" s="1"/>
  <c r="P13" i="175" s="1"/>
  <c r="J14" i="175"/>
  <c r="M14" i="175" s="1"/>
  <c r="P14" i="175" s="1"/>
  <c r="J15" i="175"/>
  <c r="M15" i="175" s="1"/>
  <c r="P15" i="175" s="1"/>
  <c r="J16" i="175"/>
  <c r="M16" i="175" s="1"/>
  <c r="P16" i="175" s="1"/>
  <c r="J17" i="175"/>
  <c r="M17" i="175" s="1"/>
  <c r="P17" i="175" s="1"/>
  <c r="J18" i="175"/>
  <c r="M18" i="175" s="1"/>
  <c r="P18" i="175" s="1"/>
  <c r="J19" i="175"/>
  <c r="M19" i="175" s="1"/>
  <c r="P19" i="175" s="1"/>
  <c r="G8" i="7"/>
  <c r="AA13" i="7"/>
  <c r="AA14" i="7"/>
  <c r="AA15" i="7"/>
  <c r="AA17" i="7"/>
  <c r="AA22" i="7"/>
  <c r="K1" i="113"/>
  <c r="J12" i="113"/>
  <c r="K33" i="246"/>
  <c r="J33" i="246" s="1"/>
  <c r="K31" i="113"/>
  <c r="A1" i="109"/>
  <c r="Z7" i="101" s="1"/>
  <c r="A14" i="109"/>
  <c r="A15" i="109"/>
  <c r="H7" i="101"/>
  <c r="H8" i="101"/>
  <c r="H11" i="101"/>
  <c r="H12" i="101"/>
  <c r="H13" i="101"/>
  <c r="H14" i="101"/>
  <c r="H15" i="101"/>
  <c r="H22" i="101"/>
  <c r="H23" i="101"/>
  <c r="H24" i="101"/>
  <c r="H25" i="101"/>
  <c r="H26" i="101"/>
  <c r="H27" i="101"/>
  <c r="H28" i="101"/>
  <c r="H29" i="101"/>
  <c r="H30" i="101"/>
  <c r="H31" i="101"/>
  <c r="H32" i="101"/>
  <c r="H33" i="101"/>
  <c r="H35" i="101"/>
  <c r="H36" i="101"/>
  <c r="H37" i="101"/>
  <c r="H38" i="101"/>
  <c r="H39" i="101"/>
  <c r="H40" i="101"/>
  <c r="H41" i="101"/>
  <c r="H43" i="101"/>
  <c r="H45" i="101"/>
  <c r="H46" i="101"/>
  <c r="H47" i="101"/>
  <c r="H48" i="101"/>
  <c r="H49" i="101"/>
  <c r="H50" i="101"/>
  <c r="H51" i="101"/>
  <c r="H52" i="101"/>
  <c r="H8" i="213"/>
  <c r="S19" i="235"/>
  <c r="E16" i="235"/>
  <c r="S27" i="235"/>
  <c r="H7" i="163"/>
  <c r="H14" i="210"/>
  <c r="H8" i="210"/>
  <c r="H16" i="210"/>
  <c r="H10" i="210"/>
  <c r="H12" i="210"/>
  <c r="H10" i="141"/>
  <c r="H8" i="141"/>
  <c r="H12" i="212"/>
  <c r="H8" i="212"/>
  <c r="H8" i="209"/>
  <c r="H9" i="209"/>
  <c r="D25" i="204"/>
  <c r="H9" i="163"/>
  <c r="M78" i="62"/>
  <c r="H8" i="208"/>
  <c r="H7" i="214"/>
  <c r="H11" i="214" s="1"/>
  <c r="H12" i="214" s="1"/>
  <c r="F28" i="66" s="1"/>
  <c r="H14" i="212"/>
  <c r="H10" i="212"/>
  <c r="H11" i="212"/>
  <c r="V41" i="235"/>
  <c r="V35" i="235"/>
  <c r="G9" i="79"/>
  <c r="E8" i="235"/>
  <c r="M70" i="62"/>
  <c r="M54" i="62"/>
  <c r="M38" i="62"/>
  <c r="M86" i="62"/>
  <c r="M67" i="62"/>
  <c r="M62" i="62"/>
  <c r="M22" i="62"/>
  <c r="M46" i="62"/>
  <c r="M14" i="62"/>
  <c r="M126" i="62"/>
  <c r="AB8" i="158" l="1"/>
  <c r="D25" i="158"/>
  <c r="AB13" i="158"/>
  <c r="J21" i="259"/>
  <c r="I21" i="259" s="1"/>
  <c r="J21" i="258"/>
  <c r="I21" i="258" s="1"/>
  <c r="J20" i="258"/>
  <c r="I20" i="258" s="1"/>
  <c r="J20" i="259"/>
  <c r="I20" i="259" s="1"/>
  <c r="K18" i="246"/>
  <c r="J18" i="246" s="1"/>
  <c r="J18" i="258"/>
  <c r="I18" i="258" s="1"/>
  <c r="J18" i="259"/>
  <c r="I18" i="259" s="1"/>
  <c r="K16" i="246"/>
  <c r="J16" i="246" s="1"/>
  <c r="J16" i="259"/>
  <c r="I16" i="259" s="1"/>
  <c r="J16" i="258"/>
  <c r="I16" i="258" s="1"/>
  <c r="J19" i="259"/>
  <c r="I19" i="259" s="1"/>
  <c r="J19" i="258"/>
  <c r="I19" i="258" s="1"/>
  <c r="J17" i="259"/>
  <c r="I17" i="259" s="1"/>
  <c r="J17" i="258"/>
  <c r="I17" i="258" s="1"/>
  <c r="H10" i="7"/>
  <c r="J8" i="7"/>
  <c r="G25" i="7"/>
  <c r="D18" i="7"/>
  <c r="D18" i="111" s="1"/>
  <c r="D18" i="175"/>
  <c r="A18" i="7"/>
  <c r="A18" i="111" s="1"/>
  <c r="A18" i="175"/>
  <c r="A202" i="1"/>
  <c r="B17" i="7"/>
  <c r="B17" i="111" s="1"/>
  <c r="W17" i="111" s="1"/>
  <c r="B17" i="175"/>
  <c r="P16" i="73"/>
  <c r="D16" i="7"/>
  <c r="D16" i="111" s="1"/>
  <c r="D16" i="175"/>
  <c r="A16" i="7"/>
  <c r="A16" i="111" s="1"/>
  <c r="A16" i="175"/>
  <c r="A158" i="1"/>
  <c r="B15" i="7"/>
  <c r="B15" i="111" s="1"/>
  <c r="W15" i="111" s="1"/>
  <c r="B15" i="175"/>
  <c r="D14" i="7"/>
  <c r="D14" i="111" s="1"/>
  <c r="D14" i="175"/>
  <c r="A14" i="175"/>
  <c r="A114" i="1"/>
  <c r="B13" i="7"/>
  <c r="B13" i="111" s="1"/>
  <c r="B13" i="175"/>
  <c r="F12" i="73"/>
  <c r="L12" i="73" s="1"/>
  <c r="D12" i="7"/>
  <c r="D12" i="111" s="1"/>
  <c r="D12" i="175"/>
  <c r="A12" i="175"/>
  <c r="A70" i="1"/>
  <c r="B11" i="7"/>
  <c r="B11" i="111" s="1"/>
  <c r="W11" i="111" s="1"/>
  <c r="B11" i="175"/>
  <c r="D9" i="7"/>
  <c r="D9" i="111" s="1"/>
  <c r="D9" i="175"/>
  <c r="A9" i="7"/>
  <c r="X9" i="7" s="1"/>
  <c r="A9" i="175"/>
  <c r="B18" i="7"/>
  <c r="B18" i="111" s="1"/>
  <c r="W18" i="111" s="1"/>
  <c r="B18" i="175"/>
  <c r="D17" i="7"/>
  <c r="D17" i="111" s="1"/>
  <c r="D17" i="175"/>
  <c r="A17" i="175"/>
  <c r="A180" i="1"/>
  <c r="B16" i="7"/>
  <c r="B16" i="111" s="1"/>
  <c r="B16" i="175"/>
  <c r="D15" i="7"/>
  <c r="D15" i="111" s="1"/>
  <c r="D15" i="175"/>
  <c r="A15" i="175"/>
  <c r="A136" i="1"/>
  <c r="B14" i="7"/>
  <c r="B14" i="111" s="1"/>
  <c r="W14" i="111" s="1"/>
  <c r="B14" i="175"/>
  <c r="D13" i="7"/>
  <c r="D13" i="111" s="1"/>
  <c r="D13" i="175"/>
  <c r="A13" i="175"/>
  <c r="A92" i="1"/>
  <c r="B12" i="7"/>
  <c r="B12" i="111" s="1"/>
  <c r="W12" i="111" s="1"/>
  <c r="B12" i="175"/>
  <c r="D11" i="7"/>
  <c r="D11" i="111" s="1"/>
  <c r="D11" i="175"/>
  <c r="A11" i="175"/>
  <c r="A48" i="1"/>
  <c r="B9" i="7"/>
  <c r="B9" i="111" s="1"/>
  <c r="B9" i="175"/>
  <c r="A1" i="113"/>
  <c r="A13" i="109" s="1"/>
  <c r="J1" i="258"/>
  <c r="H11" i="209"/>
  <c r="F19" i="66" s="1"/>
  <c r="G40" i="259"/>
  <c r="K41" i="258"/>
  <c r="K40" i="259"/>
  <c r="L40" i="259" s="1"/>
  <c r="G41" i="258"/>
  <c r="K26" i="259"/>
  <c r="G26" i="258"/>
  <c r="H26" i="258" s="1"/>
  <c r="K26" i="258"/>
  <c r="L26" i="258" s="1"/>
  <c r="G26" i="259"/>
  <c r="H26" i="259" s="1"/>
  <c r="O11" i="111"/>
  <c r="Q11" i="111" s="1"/>
  <c r="O12" i="111"/>
  <c r="Q12" i="111" s="1"/>
  <c r="O20" i="111"/>
  <c r="Q20" i="111" s="1"/>
  <c r="O22" i="111"/>
  <c r="Q22" i="111" s="1"/>
  <c r="O14" i="111"/>
  <c r="Q14" i="111" s="1"/>
  <c r="O23" i="111"/>
  <c r="Q23" i="111" s="1"/>
  <c r="O15" i="111"/>
  <c r="Q15" i="111" s="1"/>
  <c r="O24" i="111"/>
  <c r="Q24" i="111" s="1"/>
  <c r="O16" i="111"/>
  <c r="Q16" i="111" s="1"/>
  <c r="O9" i="111"/>
  <c r="Q9" i="111" s="1"/>
  <c r="O17" i="111"/>
  <c r="Q17" i="111" s="1"/>
  <c r="O18" i="111"/>
  <c r="Q18" i="111" s="1"/>
  <c r="O19" i="111"/>
  <c r="Q19" i="111" s="1"/>
  <c r="O13" i="111"/>
  <c r="Q13" i="111" s="1"/>
  <c r="G11" i="79"/>
  <c r="I9" i="111" s="1"/>
  <c r="L13" i="111"/>
  <c r="N13" i="111" s="1"/>
  <c r="L14" i="111"/>
  <c r="N14" i="111" s="1"/>
  <c r="L15" i="111"/>
  <c r="N15" i="111" s="1"/>
  <c r="L16" i="111"/>
  <c r="N16" i="111" s="1"/>
  <c r="AD16" i="111" s="1"/>
  <c r="L9" i="111"/>
  <c r="N9" i="111" s="1"/>
  <c r="AD9" i="111" s="1"/>
  <c r="L24" i="111"/>
  <c r="N24" i="111" s="1"/>
  <c r="AD24" i="111" s="1"/>
  <c r="L17" i="111"/>
  <c r="N17" i="111" s="1"/>
  <c r="L18" i="111"/>
  <c r="N18" i="111" s="1"/>
  <c r="L11" i="111"/>
  <c r="N11" i="111" s="1"/>
  <c r="L19" i="111"/>
  <c r="N19" i="111" s="1"/>
  <c r="L20" i="111"/>
  <c r="N20" i="111" s="1"/>
  <c r="L22" i="111"/>
  <c r="N22" i="111" s="1"/>
  <c r="L23" i="111"/>
  <c r="N23" i="111" s="1"/>
  <c r="L12" i="111"/>
  <c r="N12" i="111" s="1"/>
  <c r="AC9" i="111"/>
  <c r="S16" i="235"/>
  <c r="T19" i="235"/>
  <c r="S23" i="235"/>
  <c r="S14" i="235"/>
  <c r="I26" i="1"/>
  <c r="V24" i="111"/>
  <c r="B8" i="175"/>
  <c r="X22" i="7"/>
  <c r="N14" i="72"/>
  <c r="N13" i="72"/>
  <c r="N12" i="72"/>
  <c r="N11" i="72"/>
  <c r="N8" i="72"/>
  <c r="N7" i="72"/>
  <c r="N6" i="72"/>
  <c r="N9" i="72"/>
  <c r="P12" i="73"/>
  <c r="S16" i="158"/>
  <c r="A120" i="62"/>
  <c r="M21" i="204"/>
  <c r="E21" i="204"/>
  <c r="M24" i="204"/>
  <c r="E24" i="204"/>
  <c r="M20" i="204"/>
  <c r="E20" i="204"/>
  <c r="M25" i="204"/>
  <c r="E25" i="204"/>
  <c r="M51" i="62"/>
  <c r="M75" i="62"/>
  <c r="M19" i="62"/>
  <c r="S8" i="235"/>
  <c r="M31" i="235"/>
  <c r="G10" i="92"/>
  <c r="M35" i="62"/>
  <c r="M59" i="62"/>
  <c r="K18" i="113"/>
  <c r="J18" i="113" s="1"/>
  <c r="J21" i="224"/>
  <c r="J26" i="224" s="1"/>
  <c r="F11" i="213" s="1"/>
  <c r="H11" i="213" s="1"/>
  <c r="H17" i="218"/>
  <c r="S6" i="235"/>
  <c r="E27" i="235"/>
  <c r="R15" i="235"/>
  <c r="S29" i="235"/>
  <c r="S31" i="235"/>
  <c r="T13" i="235"/>
  <c r="E6" i="235"/>
  <c r="E17" i="235"/>
  <c r="M123" i="62"/>
  <c r="X24" i="111"/>
  <c r="M91" i="62"/>
  <c r="D22" i="204"/>
  <c r="M43" i="62"/>
  <c r="M10" i="235"/>
  <c r="K21" i="113"/>
  <c r="J21" i="113" s="1"/>
  <c r="K21" i="246"/>
  <c r="J21" i="246" s="1"/>
  <c r="J31" i="113"/>
  <c r="K34" i="246"/>
  <c r="B34" i="246" s="1"/>
  <c r="M13" i="235"/>
  <c r="M25" i="235"/>
  <c r="R25" i="235" s="1"/>
  <c r="E30" i="235"/>
  <c r="K20" i="113"/>
  <c r="J20" i="113" s="1"/>
  <c r="K20" i="246"/>
  <c r="J20" i="246" s="1"/>
  <c r="Q8" i="235"/>
  <c r="A17" i="7"/>
  <c r="K17" i="113"/>
  <c r="J17" i="113" s="1"/>
  <c r="K17" i="246"/>
  <c r="J17" i="246" s="1"/>
  <c r="H30" i="206"/>
  <c r="H31" i="206" s="1"/>
  <c r="F24" i="66" s="1"/>
  <c r="M11" i="235"/>
  <c r="E31" i="235"/>
  <c r="F11" i="73"/>
  <c r="I11" i="73" s="1"/>
  <c r="A12" i="7"/>
  <c r="H10" i="208"/>
  <c r="F20" i="66" s="1"/>
  <c r="K21" i="224"/>
  <c r="K26" i="224" s="1"/>
  <c r="F12" i="213" s="1"/>
  <c r="H12" i="213" s="1"/>
  <c r="Q30" i="235"/>
  <c r="S7" i="235"/>
  <c r="S12" i="235"/>
  <c r="M20" i="235"/>
  <c r="R20" i="235" s="1"/>
  <c r="M22" i="235"/>
  <c r="E28" i="235"/>
  <c r="Q28" i="235" s="1"/>
  <c r="I21" i="224"/>
  <c r="I26" i="224" s="1"/>
  <c r="F10" i="213" s="1"/>
  <c r="H10" i="213" s="1"/>
  <c r="K19" i="113"/>
  <c r="J19" i="113" s="1"/>
  <c r="K19" i="246"/>
  <c r="J19" i="246" s="1"/>
  <c r="H13" i="207"/>
  <c r="H14" i="207" s="1"/>
  <c r="F23" i="66" s="1"/>
  <c r="M6" i="235"/>
  <c r="R6" i="235" s="1"/>
  <c r="M8" i="235"/>
  <c r="T18" i="235"/>
  <c r="T20" i="235"/>
  <c r="T27" i="235"/>
  <c r="J10" i="46"/>
  <c r="R31" i="235"/>
  <c r="AB16" i="158"/>
  <c r="J8" i="111"/>
  <c r="M8" i="111" s="1"/>
  <c r="P8" i="111" s="1"/>
  <c r="Q8" i="111" s="1"/>
  <c r="H12" i="141"/>
  <c r="F8" i="111" s="1"/>
  <c r="F10" i="111" s="1"/>
  <c r="H10" i="111" s="1"/>
  <c r="H12" i="217"/>
  <c r="H13" i="217" s="1"/>
  <c r="F25" i="66" s="1"/>
  <c r="T22" i="235"/>
  <c r="T8" i="235"/>
  <c r="M12" i="235"/>
  <c r="M14" i="235"/>
  <c r="R14" i="235" s="1"/>
  <c r="M16" i="235"/>
  <c r="R16" i="235" s="1"/>
  <c r="M17" i="235"/>
  <c r="M21" i="235"/>
  <c r="R21" i="235" s="1"/>
  <c r="T23" i="235"/>
  <c r="S24" i="235"/>
  <c r="S26" i="235"/>
  <c r="M29" i="235"/>
  <c r="R29" i="235" s="1"/>
  <c r="E13" i="235"/>
  <c r="E22" i="235"/>
  <c r="E26" i="235"/>
  <c r="N7" i="121"/>
  <c r="H14" i="163"/>
  <c r="F17" i="66" s="1"/>
  <c r="P33" i="235"/>
  <c r="T12" i="235"/>
  <c r="H21" i="224"/>
  <c r="H26" i="224" s="1"/>
  <c r="F9" i="213" s="1"/>
  <c r="H9" i="213" s="1"/>
  <c r="T10" i="235"/>
  <c r="M18" i="235"/>
  <c r="Q18" i="235" s="1"/>
  <c r="M19" i="235"/>
  <c r="M24" i="235"/>
  <c r="M26" i="235"/>
  <c r="M27" i="235"/>
  <c r="H7" i="236"/>
  <c r="E10" i="235"/>
  <c r="E12" i="235"/>
  <c r="E21" i="235"/>
  <c r="B33" i="246"/>
  <c r="B8" i="111"/>
  <c r="W8" i="111" s="1"/>
  <c r="B8" i="62"/>
  <c r="Y8" i="7"/>
  <c r="A11" i="7"/>
  <c r="G8" i="158"/>
  <c r="M120" i="62"/>
  <c r="M40" i="62"/>
  <c r="M56" i="62"/>
  <c r="P11" i="73"/>
  <c r="A13" i="7"/>
  <c r="F14" i="73"/>
  <c r="G14" i="73" s="1"/>
  <c r="K14" i="73" s="1"/>
  <c r="AA8" i="111"/>
  <c r="X17" i="111"/>
  <c r="G11" i="158"/>
  <c r="J11" i="158" s="1"/>
  <c r="M11" i="158" s="1"/>
  <c r="AB17" i="158"/>
  <c r="H35" i="246"/>
  <c r="H48" i="246"/>
  <c r="H53" i="246" s="1"/>
  <c r="H31" i="246"/>
  <c r="L40" i="113"/>
  <c r="AE19" i="111"/>
  <c r="AE13" i="111"/>
  <c r="AE12" i="111"/>
  <c r="AE8" i="111"/>
  <c r="AE9" i="111"/>
  <c r="J25" i="175"/>
  <c r="M8" i="175"/>
  <c r="P8" i="175" s="1"/>
  <c r="J30" i="113"/>
  <c r="B30" i="113"/>
  <c r="S14" i="175"/>
  <c r="Q14" i="175"/>
  <c r="P9" i="73"/>
  <c r="F9" i="73"/>
  <c r="Q24" i="175"/>
  <c r="P24" i="73"/>
  <c r="P15" i="73"/>
  <c r="F15" i="73"/>
  <c r="I70" i="1"/>
  <c r="F8" i="73"/>
  <c r="I8" i="73" s="1"/>
  <c r="E8" i="1" s="1"/>
  <c r="D8" i="7"/>
  <c r="A4" i="1"/>
  <c r="X18" i="111"/>
  <c r="J10" i="204"/>
  <c r="F10" i="204"/>
  <c r="F12" i="204"/>
  <c r="G25" i="175"/>
  <c r="M16" i="62"/>
  <c r="H19" i="210"/>
  <c r="F18" i="66" s="1"/>
  <c r="N12" i="121"/>
  <c r="N11" i="121"/>
  <c r="Q11" i="121" s="1"/>
  <c r="K5" i="1" s="1"/>
  <c r="F15" i="229"/>
  <c r="F16" i="229" s="1"/>
  <c r="H14" i="216"/>
  <c r="H15" i="216" s="1"/>
  <c r="F26" i="66" s="1"/>
  <c r="H15" i="215"/>
  <c r="H16" i="215" s="1"/>
  <c r="F27" i="66" s="1"/>
  <c r="M7" i="235"/>
  <c r="R8" i="235"/>
  <c r="M9" i="235"/>
  <c r="R28" i="235"/>
  <c r="R30" i="235"/>
  <c r="H11" i="236"/>
  <c r="E23" i="235"/>
  <c r="R23" i="235" s="1"/>
  <c r="D88" i="62"/>
  <c r="AC13" i="111"/>
  <c r="P18" i="73"/>
  <c r="G8" i="204"/>
  <c r="H7" i="204"/>
  <c r="G12" i="204"/>
  <c r="P18" i="158"/>
  <c r="V18" i="158" s="1"/>
  <c r="S18" i="158"/>
  <c r="AB14" i="158"/>
  <c r="G14" i="158"/>
  <c r="J14" i="158" s="1"/>
  <c r="M14" i="158" s="1"/>
  <c r="X11" i="111"/>
  <c r="M8" i="62"/>
  <c r="M64" i="62"/>
  <c r="M88" i="62"/>
  <c r="M72" i="62"/>
  <c r="M48" i="62"/>
  <c r="D19" i="204"/>
  <c r="G7" i="92"/>
  <c r="M80" i="62"/>
  <c r="S9" i="235"/>
  <c r="T9" i="235"/>
  <c r="T11" i="235"/>
  <c r="S11" i="235"/>
  <c r="T15" i="235"/>
  <c r="S15" i="235"/>
  <c r="S30" i="235"/>
  <c r="T30" i="235"/>
  <c r="AC11" i="111"/>
  <c r="S17" i="175"/>
  <c r="Q17" i="175"/>
  <c r="P17" i="73"/>
  <c r="F17" i="73"/>
  <c r="A15" i="7"/>
  <c r="A15" i="111" s="1"/>
  <c r="AC17" i="111"/>
  <c r="AC8" i="111"/>
  <c r="T25" i="235"/>
  <c r="S25" i="235"/>
  <c r="S28" i="235"/>
  <c r="T28" i="235"/>
  <c r="H18" i="218"/>
  <c r="F32" i="66" s="1"/>
  <c r="Q25" i="235"/>
  <c r="F16" i="73"/>
  <c r="A26" i="1"/>
  <c r="Q14" i="235"/>
  <c r="T26" i="235"/>
  <c r="Z8" i="101"/>
  <c r="H18" i="212"/>
  <c r="F33" i="66" s="1"/>
  <c r="H34" i="235"/>
  <c r="H33" i="235"/>
  <c r="Q15" i="235"/>
  <c r="E11" i="235"/>
  <c r="E24" i="235"/>
  <c r="F8" i="204"/>
  <c r="J8" i="46"/>
  <c r="J18" i="46" s="1"/>
  <c r="A24" i="46" s="1"/>
  <c r="G13" i="158"/>
  <c r="P34" i="235"/>
  <c r="S22" i="235"/>
  <c r="B12" i="236"/>
  <c r="H12" i="236" s="1"/>
  <c r="B31" i="113"/>
  <c r="S13" i="235"/>
  <c r="T6" i="235"/>
  <c r="AB18" i="158"/>
  <c r="T17" i="235"/>
  <c r="AA12" i="7"/>
  <c r="S16" i="175"/>
  <c r="Q16" i="175"/>
  <c r="Q18" i="175"/>
  <c r="S18" i="175"/>
  <c r="G26" i="113"/>
  <c r="H26" i="113" s="1"/>
  <c r="L26" i="113"/>
  <c r="M12" i="175"/>
  <c r="P17" i="158"/>
  <c r="V17" i="158" s="1"/>
  <c r="S17" i="158"/>
  <c r="AA11" i="7"/>
  <c r="AF9" i="111"/>
  <c r="Q9" i="175"/>
  <c r="Q13" i="175"/>
  <c r="S13" i="175"/>
  <c r="P9" i="158"/>
  <c r="V9" i="158" s="1"/>
  <c r="S9" i="158"/>
  <c r="S19" i="175"/>
  <c r="Q19" i="175"/>
  <c r="V19" i="111"/>
  <c r="A8" i="111"/>
  <c r="V8" i="111" s="1"/>
  <c r="X8" i="7"/>
  <c r="A8" i="62"/>
  <c r="AC16" i="111"/>
  <c r="Q15" i="175"/>
  <c r="S15" i="175"/>
  <c r="Y18" i="7"/>
  <c r="W19" i="111"/>
  <c r="S15" i="158"/>
  <c r="P15" i="158"/>
  <c r="V15" i="158" s="1"/>
  <c r="P11" i="175"/>
  <c r="P14" i="73"/>
  <c r="A14" i="7"/>
  <c r="A14" i="111" s="1"/>
  <c r="F13" i="73"/>
  <c r="D8" i="175"/>
  <c r="AB15" i="158"/>
  <c r="G12" i="158"/>
  <c r="J12" i="158" s="1"/>
  <c r="M12" i="158" s="1"/>
  <c r="X9" i="111"/>
  <c r="E8" i="83"/>
  <c r="I4" i="109" s="1"/>
  <c r="A8" i="175"/>
  <c r="F18" i="73"/>
  <c r="P8" i="73"/>
  <c r="AB9" i="158"/>
  <c r="P13" i="73"/>
  <c r="H14" i="213" l="1"/>
  <c r="H15" i="213" s="1"/>
  <c r="F31" i="66" s="1"/>
  <c r="AA9" i="111"/>
  <c r="I10" i="111"/>
  <c r="J8" i="158"/>
  <c r="G25" i="158"/>
  <c r="J13" i="158"/>
  <c r="AC24" i="111"/>
  <c r="AC14" i="111"/>
  <c r="AC12" i="111"/>
  <c r="J15" i="259"/>
  <c r="I15" i="259" s="1"/>
  <c r="J15" i="258"/>
  <c r="I15" i="258" s="1"/>
  <c r="Y17" i="7"/>
  <c r="B72" i="62"/>
  <c r="X16" i="7"/>
  <c r="X18" i="7"/>
  <c r="A16" i="62"/>
  <c r="Y9" i="7"/>
  <c r="Y13" i="7"/>
  <c r="Y16" i="7"/>
  <c r="A72" i="62"/>
  <c r="D72" i="62"/>
  <c r="Y14" i="7"/>
  <c r="B88" i="62"/>
  <c r="A88" i="62"/>
  <c r="B64" i="62"/>
  <c r="H12" i="73"/>
  <c r="H13" i="73" s="1"/>
  <c r="H14" i="73" s="1"/>
  <c r="H15" i="73" s="1"/>
  <c r="H16" i="73" s="1"/>
  <c r="H17" i="73" s="1"/>
  <c r="H18" i="73" s="1"/>
  <c r="I48" i="1"/>
  <c r="B80" i="62"/>
  <c r="G12" i="73"/>
  <c r="K12" i="73" s="1"/>
  <c r="V14" i="111"/>
  <c r="A13" i="111"/>
  <c r="V13" i="111" s="1"/>
  <c r="A11" i="111"/>
  <c r="X17" i="7"/>
  <c r="A17" i="111"/>
  <c r="V17" i="111" s="1"/>
  <c r="A12" i="111"/>
  <c r="V12" i="111" s="1"/>
  <c r="B56" i="62"/>
  <c r="A9" i="111"/>
  <c r="V9" i="111" s="1"/>
  <c r="B48" i="62"/>
  <c r="M8" i="7"/>
  <c r="J25" i="7"/>
  <c r="A1" i="258"/>
  <c r="J1" i="259"/>
  <c r="G48" i="258"/>
  <c r="K48" i="258"/>
  <c r="L48" i="258" s="1"/>
  <c r="K47" i="259"/>
  <c r="G47" i="259"/>
  <c r="G27" i="113"/>
  <c r="H27" i="113" s="1"/>
  <c r="K27" i="259"/>
  <c r="G27" i="259"/>
  <c r="H27" i="259" s="1"/>
  <c r="K27" i="258"/>
  <c r="G27" i="258"/>
  <c r="L37" i="113"/>
  <c r="G37" i="259"/>
  <c r="K38" i="258"/>
  <c r="L38" i="258" s="1"/>
  <c r="G38" i="258"/>
  <c r="K37" i="259"/>
  <c r="L26" i="259"/>
  <c r="G24" i="113"/>
  <c r="H24" i="113" s="1"/>
  <c r="K24" i="259"/>
  <c r="K24" i="258"/>
  <c r="G24" i="259"/>
  <c r="H24" i="259" s="1"/>
  <c r="G24" i="258"/>
  <c r="H24" i="258" s="1"/>
  <c r="G25" i="259"/>
  <c r="H25" i="259" s="1"/>
  <c r="G25" i="258"/>
  <c r="K25" i="259"/>
  <c r="K25" i="258"/>
  <c r="K48" i="259"/>
  <c r="G48" i="259"/>
  <c r="K49" i="258"/>
  <c r="G49" i="258"/>
  <c r="L41" i="258"/>
  <c r="G39" i="258"/>
  <c r="G38" i="259"/>
  <c r="K39" i="258"/>
  <c r="K38" i="259"/>
  <c r="L38" i="259" s="1"/>
  <c r="L39" i="113"/>
  <c r="K39" i="259"/>
  <c r="G40" i="258"/>
  <c r="G39" i="259"/>
  <c r="K40" i="258"/>
  <c r="L40" i="258" s="1"/>
  <c r="G36" i="258"/>
  <c r="K35" i="259"/>
  <c r="K36" i="258"/>
  <c r="L36" i="258" s="1"/>
  <c r="G35" i="259"/>
  <c r="H34" i="241"/>
  <c r="K36" i="259"/>
  <c r="L36" i="259" s="1"/>
  <c r="K37" i="258"/>
  <c r="L37" i="258" s="1"/>
  <c r="I77" i="1"/>
  <c r="I319" i="1"/>
  <c r="I363" i="1"/>
  <c r="I275" i="1"/>
  <c r="I341" i="1"/>
  <c r="H35" i="241"/>
  <c r="L36" i="113"/>
  <c r="M36" i="113" s="1"/>
  <c r="L27" i="113"/>
  <c r="AE18" i="111"/>
  <c r="AE16" i="111"/>
  <c r="K9" i="111"/>
  <c r="AB9" i="111" s="1"/>
  <c r="F11" i="111"/>
  <c r="H11" i="111" s="1"/>
  <c r="F12" i="111"/>
  <c r="H12" i="111" s="1"/>
  <c r="F13" i="111"/>
  <c r="H13" i="111" s="1"/>
  <c r="Z13" i="111" s="1"/>
  <c r="F22" i="111"/>
  <c r="H22" i="111" s="1"/>
  <c r="F20" i="111"/>
  <c r="H20" i="111" s="1"/>
  <c r="F14" i="111"/>
  <c r="H14" i="111" s="1"/>
  <c r="F23" i="111"/>
  <c r="H23" i="111" s="1"/>
  <c r="F19" i="111"/>
  <c r="H19" i="111" s="1"/>
  <c r="F15" i="111"/>
  <c r="H15" i="111" s="1"/>
  <c r="F24" i="111"/>
  <c r="H24" i="111" s="1"/>
  <c r="F9" i="111"/>
  <c r="H9" i="111" s="1"/>
  <c r="F16" i="111"/>
  <c r="H16" i="111" s="1"/>
  <c r="F17" i="111"/>
  <c r="H17" i="111" s="1"/>
  <c r="F18" i="111"/>
  <c r="H18" i="111" s="1"/>
  <c r="H8" i="111"/>
  <c r="Z8" i="111" s="1"/>
  <c r="AC19" i="111"/>
  <c r="Q12" i="235"/>
  <c r="R17" i="235"/>
  <c r="R18" i="235"/>
  <c r="Q16" i="235"/>
  <c r="Q11" i="235"/>
  <c r="E52" i="1"/>
  <c r="F11" i="7" s="1"/>
  <c r="AD14" i="111"/>
  <c r="D32" i="62"/>
  <c r="A40" i="62"/>
  <c r="B16" i="62"/>
  <c r="N8" i="111"/>
  <c r="K8" i="111"/>
  <c r="AB8" i="111" s="1"/>
  <c r="AD13" i="111"/>
  <c r="M22" i="204"/>
  <c r="E22" i="204"/>
  <c r="E23" i="204" s="1"/>
  <c r="G11" i="73"/>
  <c r="K11" i="73" s="1"/>
  <c r="L11" i="73"/>
  <c r="Q10" i="235"/>
  <c r="R13" i="235"/>
  <c r="Q6" i="235"/>
  <c r="AF12" i="111"/>
  <c r="Q22" i="235"/>
  <c r="R12" i="235"/>
  <c r="Q31" i="235"/>
  <c r="A32" i="62"/>
  <c r="X12" i="7"/>
  <c r="AD12" i="111"/>
  <c r="I55" i="1"/>
  <c r="AD17" i="111"/>
  <c r="Q17" i="235"/>
  <c r="L24" i="113"/>
  <c r="M24" i="113" s="1"/>
  <c r="J34" i="246"/>
  <c r="X11" i="7"/>
  <c r="A80" i="62"/>
  <c r="T33" i="235"/>
  <c r="K15" i="113"/>
  <c r="J15" i="113" s="1"/>
  <c r="K15" i="246"/>
  <c r="J15" i="246" s="1"/>
  <c r="Q29" i="235"/>
  <c r="V18" i="111"/>
  <c r="H22" i="241"/>
  <c r="G25" i="246"/>
  <c r="I25" i="246" s="1"/>
  <c r="Q20" i="235"/>
  <c r="H38" i="241"/>
  <c r="G43" i="246"/>
  <c r="I43" i="246" s="1"/>
  <c r="R22" i="235"/>
  <c r="L35" i="113"/>
  <c r="R10" i="235"/>
  <c r="G35" i="113"/>
  <c r="H24" i="241"/>
  <c r="G27" i="246"/>
  <c r="I27" i="246" s="1"/>
  <c r="A48" i="62"/>
  <c r="AD11" i="111"/>
  <c r="I165" i="1"/>
  <c r="R11" i="235"/>
  <c r="Q13" i="235"/>
  <c r="Y16" i="111"/>
  <c r="I33" i="1"/>
  <c r="Q24" i="235"/>
  <c r="R19" i="235"/>
  <c r="Q19" i="235"/>
  <c r="Q21" i="235"/>
  <c r="S33" i="235"/>
  <c r="R27" i="235"/>
  <c r="Q27" i="235"/>
  <c r="B32" i="62"/>
  <c r="Y11" i="7"/>
  <c r="W9" i="111"/>
  <c r="Y8" i="111"/>
  <c r="AF18" i="111"/>
  <c r="Q26" i="235"/>
  <c r="R26" i="235"/>
  <c r="D56" i="62"/>
  <c r="P11" i="158"/>
  <c r="V11" i="158" s="1"/>
  <c r="S11" i="158"/>
  <c r="X13" i="7"/>
  <c r="L14" i="73"/>
  <c r="W16" i="111"/>
  <c r="Y15" i="7"/>
  <c r="AF13" i="111"/>
  <c r="A23" i="46"/>
  <c r="AF16" i="111"/>
  <c r="AD19" i="111"/>
  <c r="H37" i="246"/>
  <c r="X15" i="7"/>
  <c r="A64" i="62"/>
  <c r="V16" i="111"/>
  <c r="D80" i="62"/>
  <c r="V11" i="111"/>
  <c r="Q9" i="235"/>
  <c r="R9" i="235"/>
  <c r="L38" i="113"/>
  <c r="F16" i="204"/>
  <c r="F11" i="204" s="1"/>
  <c r="G15" i="73"/>
  <c r="L15" i="73"/>
  <c r="Q8" i="175"/>
  <c r="S8" i="175"/>
  <c r="AF14" i="111"/>
  <c r="AE14" i="111"/>
  <c r="AE17" i="111"/>
  <c r="AF17" i="111"/>
  <c r="I99" i="1"/>
  <c r="I121" i="1"/>
  <c r="I209" i="1"/>
  <c r="I253" i="1"/>
  <c r="I143" i="1"/>
  <c r="I187" i="1"/>
  <c r="I92" i="1"/>
  <c r="I13" i="73"/>
  <c r="E96" i="1" s="1"/>
  <c r="AE11" i="111"/>
  <c r="AF11" i="111"/>
  <c r="AF24" i="111"/>
  <c r="AE24" i="111"/>
  <c r="AF19" i="111"/>
  <c r="E33" i="235"/>
  <c r="R24" i="235"/>
  <c r="Q23" i="235"/>
  <c r="M40" i="113"/>
  <c r="L16" i="73"/>
  <c r="G16" i="73"/>
  <c r="G47" i="113"/>
  <c r="L47" i="113"/>
  <c r="AC15" i="111"/>
  <c r="AD15" i="111"/>
  <c r="G17" i="73"/>
  <c r="L17" i="73"/>
  <c r="I7" i="204"/>
  <c r="H12" i="204"/>
  <c r="H8" i="204"/>
  <c r="R7" i="235"/>
  <c r="Q7" i="235"/>
  <c r="M33" i="235"/>
  <c r="G25" i="113"/>
  <c r="H25" i="113" s="1"/>
  <c r="L25" i="113"/>
  <c r="G8" i="73"/>
  <c r="K8" i="73" s="1"/>
  <c r="L8" i="73"/>
  <c r="D64" i="62"/>
  <c r="G9" i="73"/>
  <c r="K9" i="73" s="1"/>
  <c r="I9" i="73"/>
  <c r="E30" i="1" s="1"/>
  <c r="F9" i="7" s="1"/>
  <c r="H9" i="7" s="1"/>
  <c r="L9" i="73"/>
  <c r="AE15" i="111"/>
  <c r="AF15" i="111"/>
  <c r="T34" i="235"/>
  <c r="S34" i="235"/>
  <c r="L48" i="113"/>
  <c r="G48" i="113"/>
  <c r="AD18" i="111"/>
  <c r="AC18" i="111"/>
  <c r="P14" i="158"/>
  <c r="V14" i="158" s="1"/>
  <c r="S14" i="158"/>
  <c r="G16" i="204"/>
  <c r="G11" i="204" s="1"/>
  <c r="D8" i="111"/>
  <c r="D8" i="62"/>
  <c r="G24" i="73"/>
  <c r="L24" i="73"/>
  <c r="D16" i="62"/>
  <c r="E34" i="235"/>
  <c r="M34" i="235"/>
  <c r="AF8" i="111"/>
  <c r="B40" i="62"/>
  <c r="Y12" i="7"/>
  <c r="W13" i="111"/>
  <c r="G18" i="73"/>
  <c r="L18" i="73"/>
  <c r="V15" i="111"/>
  <c r="X14" i="7"/>
  <c r="A56" i="62"/>
  <c r="L13" i="73"/>
  <c r="G13" i="73"/>
  <c r="Q11" i="175"/>
  <c r="S11" i="175"/>
  <c r="M26" i="113"/>
  <c r="W24" i="111"/>
  <c r="Y22" i="7"/>
  <c r="B120" i="62"/>
  <c r="P12" i="158"/>
  <c r="V12" i="158" s="1"/>
  <c r="S12" i="158"/>
  <c r="Y24" i="111"/>
  <c r="AB25" i="158"/>
  <c r="D48" i="62"/>
  <c r="D40" i="62"/>
  <c r="P12" i="175"/>
  <c r="M25" i="175"/>
  <c r="AA18" i="7"/>
  <c r="H46" i="113" l="1"/>
  <c r="K47" i="258"/>
  <c r="K50" i="258" s="1"/>
  <c r="G46" i="113"/>
  <c r="G47" i="258" s="1"/>
  <c r="F34" i="66"/>
  <c r="K46" i="259"/>
  <c r="K49" i="259" s="1"/>
  <c r="L46" i="113"/>
  <c r="I11" i="111"/>
  <c r="K10" i="111"/>
  <c r="R10" i="111" s="1"/>
  <c r="M8" i="158"/>
  <c r="J25" i="158"/>
  <c r="M23" i="204"/>
  <c r="M26" i="204" s="1"/>
  <c r="M27" i="204" s="1"/>
  <c r="E26" i="204"/>
  <c r="E27" i="204" s="1"/>
  <c r="M13" i="158"/>
  <c r="H19" i="73"/>
  <c r="H20" i="73" s="1"/>
  <c r="I356" i="1"/>
  <c r="I334" i="1"/>
  <c r="I312" i="1"/>
  <c r="I12" i="73"/>
  <c r="E74" i="1" s="1"/>
  <c r="P8" i="7"/>
  <c r="M25" i="7"/>
  <c r="M27" i="113"/>
  <c r="A1" i="259"/>
  <c r="U1" i="7"/>
  <c r="R9" i="111"/>
  <c r="L49" i="258"/>
  <c r="L39" i="259"/>
  <c r="L27" i="259"/>
  <c r="L24" i="258"/>
  <c r="G39" i="246"/>
  <c r="I39" i="246" s="1"/>
  <c r="G40" i="246"/>
  <c r="I40" i="246" s="1"/>
  <c r="L48" i="259"/>
  <c r="L24" i="259"/>
  <c r="L37" i="259"/>
  <c r="L47" i="259"/>
  <c r="L25" i="258"/>
  <c r="H25" i="258"/>
  <c r="L35" i="259"/>
  <c r="L39" i="258"/>
  <c r="H44" i="241"/>
  <c r="I44" i="241" s="1"/>
  <c r="M37" i="113"/>
  <c r="L25" i="259"/>
  <c r="L27" i="258"/>
  <c r="H27" i="258"/>
  <c r="E57" i="1"/>
  <c r="E51" i="1" s="1"/>
  <c r="E50" i="1" s="1"/>
  <c r="A67" i="1"/>
  <c r="A111" i="1"/>
  <c r="F13" i="7"/>
  <c r="H11" i="7"/>
  <c r="I32" i="62"/>
  <c r="I33" i="62" s="1"/>
  <c r="M35" i="113"/>
  <c r="Y13" i="111"/>
  <c r="Y11" i="111"/>
  <c r="I12" i="111"/>
  <c r="K11" i="111"/>
  <c r="R11" i="111" s="1"/>
  <c r="Y18" i="111"/>
  <c r="Y9" i="111"/>
  <c r="Z14" i="111"/>
  <c r="Y14" i="111"/>
  <c r="Y19" i="111"/>
  <c r="Y17" i="111"/>
  <c r="R8" i="111"/>
  <c r="Z9" i="111"/>
  <c r="AG9" i="111" s="1"/>
  <c r="AD8" i="111"/>
  <c r="AD25" i="111" s="1"/>
  <c r="E101" i="1"/>
  <c r="L13" i="7" s="1"/>
  <c r="N13" i="7" s="1"/>
  <c r="K24" i="73"/>
  <c r="Q33" i="235"/>
  <c r="Y12" i="111"/>
  <c r="AA12" i="111"/>
  <c r="N25" i="111"/>
  <c r="AA11" i="111"/>
  <c r="H25" i="241"/>
  <c r="G28" i="246"/>
  <c r="I28" i="246" s="1"/>
  <c r="H36" i="241"/>
  <c r="G41" i="246"/>
  <c r="I41" i="246" s="1"/>
  <c r="I22" i="241"/>
  <c r="J22" i="241" s="1"/>
  <c r="H46" i="241"/>
  <c r="G51" i="246"/>
  <c r="I51" i="246" s="1"/>
  <c r="H23" i="241"/>
  <c r="G26" i="246"/>
  <c r="I26" i="246" s="1"/>
  <c r="G42" i="246"/>
  <c r="I42" i="246" s="1"/>
  <c r="H37" i="241"/>
  <c r="I24" i="241"/>
  <c r="J24" i="241" s="1"/>
  <c r="I38" i="241"/>
  <c r="J38" i="241" s="1"/>
  <c r="I35" i="241"/>
  <c r="J35" i="241" s="1"/>
  <c r="G35" i="241" s="1"/>
  <c r="AF25" i="111"/>
  <c r="Z17" i="111"/>
  <c r="Y15" i="111"/>
  <c r="Z15" i="111"/>
  <c r="M39" i="113"/>
  <c r="H54" i="246"/>
  <c r="Q34" i="235"/>
  <c r="R34" i="235"/>
  <c r="K15" i="73"/>
  <c r="E13" i="1"/>
  <c r="F8" i="7"/>
  <c r="A23" i="1"/>
  <c r="K17" i="73"/>
  <c r="I114" i="1"/>
  <c r="Q25" i="111"/>
  <c r="M47" i="113"/>
  <c r="A45" i="1"/>
  <c r="E35" i="1"/>
  <c r="L9" i="7" s="1"/>
  <c r="J7" i="204"/>
  <c r="I12" i="204"/>
  <c r="I8" i="204"/>
  <c r="R33" i="235"/>
  <c r="M53" i="235"/>
  <c r="V36" i="235"/>
  <c r="A36" i="235" s="1"/>
  <c r="H16" i="204"/>
  <c r="H11" i="204" s="1"/>
  <c r="K16" i="73"/>
  <c r="M48" i="113"/>
  <c r="L49" i="113"/>
  <c r="M25" i="113"/>
  <c r="M38" i="113"/>
  <c r="Z24" i="111"/>
  <c r="Z18" i="111"/>
  <c r="Z11" i="111"/>
  <c r="K13" i="73"/>
  <c r="Z12" i="111"/>
  <c r="K18" i="73"/>
  <c r="Z16" i="111"/>
  <c r="AA9" i="7"/>
  <c r="Q12" i="175"/>
  <c r="Q25" i="175" s="1"/>
  <c r="S12" i="175"/>
  <c r="S25" i="175" s="1"/>
  <c r="Z19" i="111"/>
  <c r="M46" i="113" l="1"/>
  <c r="G49" i="113"/>
  <c r="H49" i="113" s="1"/>
  <c r="S8" i="158"/>
  <c r="M25" i="158"/>
  <c r="P8" i="158"/>
  <c r="P13" i="158"/>
  <c r="S13" i="158"/>
  <c r="H21" i="73"/>
  <c r="I21" i="73" s="1"/>
  <c r="E294" i="1" s="1"/>
  <c r="AG8" i="111"/>
  <c r="F12" i="7"/>
  <c r="E79" i="1"/>
  <c r="A89" i="1"/>
  <c r="I22" i="73"/>
  <c r="E316" i="1" s="1"/>
  <c r="H23" i="73"/>
  <c r="P25" i="7"/>
  <c r="S8" i="7"/>
  <c r="J44" i="241"/>
  <c r="H46" i="259" s="1"/>
  <c r="H47" i="258"/>
  <c r="A1" i="7"/>
  <c r="U1" i="175"/>
  <c r="G24" i="241"/>
  <c r="G46" i="259"/>
  <c r="G50" i="258"/>
  <c r="H50" i="258" s="1"/>
  <c r="G49" i="246"/>
  <c r="I49" i="246" s="1"/>
  <c r="L47" i="258"/>
  <c r="L11" i="7"/>
  <c r="N11" i="7" s="1"/>
  <c r="H13" i="7"/>
  <c r="N9" i="7"/>
  <c r="G44" i="241"/>
  <c r="I13" i="111"/>
  <c r="K12" i="111"/>
  <c r="AB11" i="111"/>
  <c r="AG11" i="111" s="1"/>
  <c r="E95" i="1"/>
  <c r="E94" i="1" s="1"/>
  <c r="A109" i="1" s="1"/>
  <c r="G15" i="204"/>
  <c r="F15" i="204"/>
  <c r="I23" i="241"/>
  <c r="J23" i="241" s="1"/>
  <c r="G23" i="241" s="1"/>
  <c r="H45" i="241"/>
  <c r="G50" i="246"/>
  <c r="I50" i="246" s="1"/>
  <c r="I46" i="241"/>
  <c r="J46" i="241" s="1"/>
  <c r="G46" i="241"/>
  <c r="G22" i="241"/>
  <c r="H47" i="241"/>
  <c r="G52" i="246"/>
  <c r="I52" i="246" s="1"/>
  <c r="H33" i="241"/>
  <c r="G38" i="246"/>
  <c r="I38" i="246" s="1"/>
  <c r="I37" i="241"/>
  <c r="J37" i="241" s="1"/>
  <c r="G37" i="241"/>
  <c r="I36" i="241"/>
  <c r="J36" i="241" s="1"/>
  <c r="M49" i="113"/>
  <c r="G38" i="241"/>
  <c r="G34" i="241"/>
  <c r="I25" i="241"/>
  <c r="J25" i="241" s="1"/>
  <c r="H25" i="111"/>
  <c r="E7" i="1"/>
  <c r="E6" i="1" s="1"/>
  <c r="L8" i="7"/>
  <c r="I16" i="62"/>
  <c r="I17" i="62" s="1"/>
  <c r="I18" i="62" s="1"/>
  <c r="I8" i="62"/>
  <c r="I9" i="62" s="1"/>
  <c r="I10" i="62" s="1"/>
  <c r="H8" i="7"/>
  <c r="I16" i="204"/>
  <c r="I11" i="204" s="1"/>
  <c r="M54" i="235"/>
  <c r="V39" i="235"/>
  <c r="E29" i="1"/>
  <c r="E28" i="1" s="1"/>
  <c r="K7" i="204"/>
  <c r="J12" i="204"/>
  <c r="J8" i="204"/>
  <c r="I136" i="1"/>
  <c r="I14" i="73"/>
  <c r="E118" i="1" s="1"/>
  <c r="F14" i="7" s="1"/>
  <c r="AA16" i="7"/>
  <c r="I37" i="62"/>
  <c r="I34" i="62"/>
  <c r="Z25" i="111"/>
  <c r="E54" i="1"/>
  <c r="I11" i="175" s="1"/>
  <c r="K11" i="175" s="1"/>
  <c r="E53" i="1"/>
  <c r="A64" i="1"/>
  <c r="A66" i="1"/>
  <c r="A65" i="1"/>
  <c r="E55" i="1"/>
  <c r="L11" i="175" s="1"/>
  <c r="N11" i="175" s="1"/>
  <c r="V8" i="158" l="1"/>
  <c r="P25" i="158"/>
  <c r="S25" i="158"/>
  <c r="F17" i="204"/>
  <c r="F18" i="204" s="1"/>
  <c r="F19" i="204"/>
  <c r="G17" i="204"/>
  <c r="G18" i="204" s="1"/>
  <c r="G22" i="204" s="1"/>
  <c r="G23" i="204" s="1"/>
  <c r="G19" i="204"/>
  <c r="V13" i="158"/>
  <c r="E299" i="1"/>
  <c r="E293" i="1" s="1"/>
  <c r="E292" i="1" s="1"/>
  <c r="A309" i="1"/>
  <c r="F22" i="7"/>
  <c r="H22" i="7" s="1"/>
  <c r="E321" i="1"/>
  <c r="A331" i="1"/>
  <c r="L12" i="7"/>
  <c r="E73" i="1"/>
  <c r="E72" i="1" s="1"/>
  <c r="I23" i="73"/>
  <c r="E338" i="1" s="1"/>
  <c r="H24" i="73"/>
  <c r="I268" i="1" s="1"/>
  <c r="H12" i="7"/>
  <c r="I40" i="62"/>
  <c r="I41" i="62" s="1"/>
  <c r="I45" i="62" s="1"/>
  <c r="S25" i="7"/>
  <c r="AA8" i="7"/>
  <c r="AA25" i="7" s="1"/>
  <c r="K32" i="62"/>
  <c r="K33" i="62" s="1"/>
  <c r="A1" i="175"/>
  <c r="Z12" i="101" s="1"/>
  <c r="I1" i="1"/>
  <c r="Z11" i="101"/>
  <c r="A11" i="84"/>
  <c r="A11" i="83"/>
  <c r="I14" i="259"/>
  <c r="I14" i="258"/>
  <c r="J14" i="113"/>
  <c r="A152" i="62"/>
  <c r="G49" i="259"/>
  <c r="L46" i="259"/>
  <c r="L50" i="258"/>
  <c r="A108" i="1"/>
  <c r="H14" i="7"/>
  <c r="A110" i="1"/>
  <c r="AB12" i="111"/>
  <c r="AG12" i="111" s="1"/>
  <c r="R12" i="111"/>
  <c r="I14" i="111"/>
  <c r="K13" i="111"/>
  <c r="AA13" i="111"/>
  <c r="A39" i="235"/>
  <c r="E123" i="1"/>
  <c r="L14" i="7" s="1"/>
  <c r="N14" i="7" s="1"/>
  <c r="A133" i="1"/>
  <c r="E98" i="1"/>
  <c r="I13" i="175" s="1"/>
  <c r="K13" i="175" s="1"/>
  <c r="E99" i="1"/>
  <c r="L13" i="175" s="1"/>
  <c r="N13" i="175" s="1"/>
  <c r="E97" i="1"/>
  <c r="F13" i="175" s="1"/>
  <c r="H13" i="175" s="1"/>
  <c r="H15" i="204"/>
  <c r="G24" i="204"/>
  <c r="F24" i="204"/>
  <c r="F25" i="204"/>
  <c r="F21" i="204"/>
  <c r="F22" i="204"/>
  <c r="F23" i="204" s="1"/>
  <c r="F20" i="204"/>
  <c r="F26" i="204" s="1"/>
  <c r="F27" i="204" s="1"/>
  <c r="G25" i="241"/>
  <c r="I45" i="241"/>
  <c r="I33" i="241"/>
  <c r="G36" i="241"/>
  <c r="G47" i="246"/>
  <c r="I47" i="246" s="1"/>
  <c r="I13" i="62"/>
  <c r="I21" i="62"/>
  <c r="I158" i="1"/>
  <c r="I15" i="73"/>
  <c r="E140" i="1" s="1"/>
  <c r="J16" i="204"/>
  <c r="J11" i="204" s="1"/>
  <c r="W39" i="235"/>
  <c r="V42" i="235" s="1"/>
  <c r="K16" i="62"/>
  <c r="K17" i="62" s="1"/>
  <c r="E31" i="1"/>
  <c r="A44" i="1"/>
  <c r="E32" i="1"/>
  <c r="I9" i="175" s="1"/>
  <c r="K9" i="175" s="1"/>
  <c r="A42" i="1"/>
  <c r="A43" i="1"/>
  <c r="E33" i="1"/>
  <c r="L9" i="175" s="1"/>
  <c r="N9" i="175" s="1"/>
  <c r="A20" i="1"/>
  <c r="A21" i="1"/>
  <c r="E10" i="1"/>
  <c r="I8" i="175" s="1"/>
  <c r="K8" i="175" s="1"/>
  <c r="A22" i="1"/>
  <c r="E11" i="1"/>
  <c r="L8" i="175" s="1"/>
  <c r="N8" i="175" s="1"/>
  <c r="E9" i="1"/>
  <c r="L7" i="204"/>
  <c r="K12" i="204"/>
  <c r="K8" i="204"/>
  <c r="K8" i="62"/>
  <c r="K9" i="62" s="1"/>
  <c r="N8" i="7"/>
  <c r="F11" i="175"/>
  <c r="E56" i="1"/>
  <c r="I11" i="7" s="1"/>
  <c r="I14" i="62"/>
  <c r="I11" i="62"/>
  <c r="I35" i="62"/>
  <c r="I38" i="62"/>
  <c r="I22" i="62"/>
  <c r="I19" i="62"/>
  <c r="I42" i="62"/>
  <c r="V25" i="158" l="1"/>
  <c r="G21" i="204"/>
  <c r="H17" i="204"/>
  <c r="H18" i="204" s="1"/>
  <c r="H19" i="204"/>
  <c r="G20" i="204"/>
  <c r="G26" i="204" s="1"/>
  <c r="G27" i="204" s="1"/>
  <c r="G25" i="204"/>
  <c r="A308" i="1"/>
  <c r="E296" i="1"/>
  <c r="E297" i="1"/>
  <c r="L21" i="175" s="1"/>
  <c r="N21" i="175" s="1"/>
  <c r="A306" i="1"/>
  <c r="A307" i="1"/>
  <c r="E295" i="1"/>
  <c r="F21" i="175" s="1"/>
  <c r="F23" i="7"/>
  <c r="E343" i="1"/>
  <c r="A353" i="1"/>
  <c r="N12" i="7"/>
  <c r="K40" i="62"/>
  <c r="K41" i="62" s="1"/>
  <c r="L22" i="7"/>
  <c r="N22" i="7" s="1"/>
  <c r="E315" i="1"/>
  <c r="E314" i="1" s="1"/>
  <c r="E75" i="1"/>
  <c r="E76" i="1"/>
  <c r="I12" i="175" s="1"/>
  <c r="K12" i="175" s="1"/>
  <c r="A87" i="1"/>
  <c r="E77" i="1"/>
  <c r="L12" i="175" s="1"/>
  <c r="N12" i="175" s="1"/>
  <c r="A88" i="1"/>
  <c r="A86" i="1"/>
  <c r="K34" i="62"/>
  <c r="K37" i="62"/>
  <c r="A1" i="1"/>
  <c r="K1" i="73"/>
  <c r="J33" i="241"/>
  <c r="H49" i="259"/>
  <c r="L49" i="259"/>
  <c r="J45" i="241"/>
  <c r="J47" i="241" s="1"/>
  <c r="I47" i="241"/>
  <c r="A155" i="1"/>
  <c r="F15" i="7"/>
  <c r="K11" i="7"/>
  <c r="AB13" i="111"/>
  <c r="AG13" i="111" s="1"/>
  <c r="R13" i="111"/>
  <c r="I15" i="111"/>
  <c r="K14" i="111"/>
  <c r="AA14" i="111"/>
  <c r="V43" i="235"/>
  <c r="A42" i="235"/>
  <c r="A40" i="235"/>
  <c r="E145" i="1"/>
  <c r="I56" i="62"/>
  <c r="I57" i="62" s="1"/>
  <c r="E100" i="1"/>
  <c r="E117" i="1"/>
  <c r="E116" i="1" s="1"/>
  <c r="R13" i="175"/>
  <c r="T13" i="175" s="1"/>
  <c r="I48" i="62"/>
  <c r="I49" i="62" s="1"/>
  <c r="I53" i="62" s="1"/>
  <c r="I15" i="204"/>
  <c r="H25" i="204"/>
  <c r="H22" i="204"/>
  <c r="H23" i="204" s="1"/>
  <c r="H21" i="204"/>
  <c r="H24" i="204"/>
  <c r="H20" i="204"/>
  <c r="K16" i="204"/>
  <c r="K11" i="204" s="1"/>
  <c r="K13" i="62"/>
  <c r="K10" i="62"/>
  <c r="E12" i="1"/>
  <c r="F8" i="175"/>
  <c r="K21" i="62"/>
  <c r="K18" i="62"/>
  <c r="E34" i="1"/>
  <c r="I9" i="7" s="1"/>
  <c r="F9" i="175"/>
  <c r="L8" i="204"/>
  <c r="L12" i="204"/>
  <c r="I180" i="1"/>
  <c r="I16" i="73"/>
  <c r="E162" i="1" s="1"/>
  <c r="R11" i="175"/>
  <c r="T11" i="175" s="1"/>
  <c r="H11" i="175"/>
  <c r="J32" i="62"/>
  <c r="E58" i="1"/>
  <c r="O11" i="7" s="1"/>
  <c r="Q11" i="7" s="1"/>
  <c r="A68" i="1"/>
  <c r="I43" i="62"/>
  <c r="I46" i="62"/>
  <c r="G47" i="241" l="1"/>
  <c r="I17" i="204"/>
  <c r="I18" i="204" s="1"/>
  <c r="I19" i="204"/>
  <c r="H26" i="204"/>
  <c r="H27" i="204" s="1"/>
  <c r="H21" i="175"/>
  <c r="R21" i="175"/>
  <c r="T21" i="175" s="1"/>
  <c r="E298" i="1"/>
  <c r="E300" i="1" s="1"/>
  <c r="E301" i="1" s="1"/>
  <c r="A310" i="1"/>
  <c r="F12" i="175"/>
  <c r="E78" i="1"/>
  <c r="E337" i="1"/>
  <c r="E336" i="1" s="1"/>
  <c r="L23" i="7"/>
  <c r="A330" i="1"/>
  <c r="E319" i="1"/>
  <c r="L22" i="175" s="1"/>
  <c r="E318" i="1"/>
  <c r="A329" i="1"/>
  <c r="A328" i="1"/>
  <c r="E317" i="1"/>
  <c r="K42" i="62"/>
  <c r="K45" i="62"/>
  <c r="H23" i="7"/>
  <c r="I128" i="62"/>
  <c r="I129" i="62" s="1"/>
  <c r="K38" i="62"/>
  <c r="K35" i="62"/>
  <c r="A1" i="73"/>
  <c r="O1" i="204"/>
  <c r="A26" i="7"/>
  <c r="Z13" i="101"/>
  <c r="A26" i="175"/>
  <c r="G45" i="241"/>
  <c r="G33" i="241"/>
  <c r="A177" i="1"/>
  <c r="F16" i="7"/>
  <c r="I50" i="62"/>
  <c r="I54" i="62" s="1"/>
  <c r="K9" i="7"/>
  <c r="H15" i="7"/>
  <c r="A112" i="1"/>
  <c r="I13" i="7"/>
  <c r="R11" i="7"/>
  <c r="T11" i="7" s="1"/>
  <c r="AC11" i="7" s="1"/>
  <c r="E139" i="1"/>
  <c r="E138" i="1" s="1"/>
  <c r="E142" i="1" s="1"/>
  <c r="I15" i="175" s="1"/>
  <c r="K15" i="175" s="1"/>
  <c r="L15" i="7"/>
  <c r="N15" i="7" s="1"/>
  <c r="R14" i="111"/>
  <c r="AB14" i="111"/>
  <c r="AG14" i="111" s="1"/>
  <c r="K15" i="111"/>
  <c r="I16" i="111"/>
  <c r="AA15" i="111"/>
  <c r="E102" i="1"/>
  <c r="O13" i="7" s="1"/>
  <c r="Q13" i="7" s="1"/>
  <c r="E119" i="1"/>
  <c r="E121" i="1"/>
  <c r="L14" i="175" s="1"/>
  <c r="N14" i="175" s="1"/>
  <c r="A132" i="1"/>
  <c r="E120" i="1"/>
  <c r="I14" i="175" s="1"/>
  <c r="K14" i="175" s="1"/>
  <c r="A130" i="1"/>
  <c r="A131" i="1"/>
  <c r="K48" i="62"/>
  <c r="K49" i="62" s="1"/>
  <c r="E167" i="1"/>
  <c r="J15" i="204"/>
  <c r="I21" i="204"/>
  <c r="I20" i="204"/>
  <c r="I22" i="204"/>
  <c r="I23" i="204" s="1"/>
  <c r="I25" i="204"/>
  <c r="I24" i="204"/>
  <c r="K11" i="62"/>
  <c r="K14" i="62"/>
  <c r="I202" i="1"/>
  <c r="I17" i="73"/>
  <c r="E184" i="1" s="1"/>
  <c r="L16" i="204"/>
  <c r="L11" i="204" s="1"/>
  <c r="A24" i="1"/>
  <c r="I8" i="7"/>
  <c r="E14" i="1"/>
  <c r="R9" i="175"/>
  <c r="T9" i="175" s="1"/>
  <c r="H9" i="175"/>
  <c r="K56" i="62"/>
  <c r="K57" i="62" s="1"/>
  <c r="K19" i="62"/>
  <c r="K22" i="62"/>
  <c r="I58" i="62"/>
  <c r="I61" i="62"/>
  <c r="E36" i="1"/>
  <c r="O9" i="7" s="1"/>
  <c r="Q9" i="7" s="1"/>
  <c r="A46" i="1"/>
  <c r="I64" i="62"/>
  <c r="H8" i="175"/>
  <c r="R8" i="175"/>
  <c r="T8" i="175" s="1"/>
  <c r="E59" i="1"/>
  <c r="J33" i="62"/>
  <c r="L32" i="62"/>
  <c r="J17" i="204" l="1"/>
  <c r="J18" i="204" s="1"/>
  <c r="J19" i="204"/>
  <c r="A305" i="1"/>
  <c r="G294" i="1"/>
  <c r="A239" i="1"/>
  <c r="G228" i="1"/>
  <c r="I130" i="62"/>
  <c r="I133" i="62"/>
  <c r="F22" i="175"/>
  <c r="H22" i="175" s="1"/>
  <c r="E320" i="1"/>
  <c r="K128" i="62"/>
  <c r="K129" i="62" s="1"/>
  <c r="N23" i="7"/>
  <c r="I12" i="7"/>
  <c r="E80" i="1"/>
  <c r="O12" i="7" s="1"/>
  <c r="Q12" i="7" s="1"/>
  <c r="A90" i="1"/>
  <c r="E81" i="1"/>
  <c r="K43" i="62"/>
  <c r="K46" i="62"/>
  <c r="A352" i="1"/>
  <c r="A351" i="1"/>
  <c r="E339" i="1"/>
  <c r="A350" i="1"/>
  <c r="E341" i="1"/>
  <c r="L23" i="175" s="1"/>
  <c r="E340" i="1"/>
  <c r="H12" i="175"/>
  <c r="R12" i="175"/>
  <c r="T12" i="175" s="1"/>
  <c r="A1" i="204"/>
  <c r="L1" i="179"/>
  <c r="A1" i="179" s="1"/>
  <c r="Z17" i="101" s="1"/>
  <c r="I1" i="91"/>
  <c r="A327" i="1"/>
  <c r="G206" i="1"/>
  <c r="A63" i="1"/>
  <c r="G118" i="1"/>
  <c r="G96" i="1"/>
  <c r="A217" i="1"/>
  <c r="A195" i="1"/>
  <c r="A173" i="1"/>
  <c r="G360" i="1"/>
  <c r="A107" i="1"/>
  <c r="A129" i="1"/>
  <c r="A349" i="1"/>
  <c r="A85" i="1"/>
  <c r="G250" i="1"/>
  <c r="G272" i="1"/>
  <c r="G140" i="1"/>
  <c r="A41" i="1"/>
  <c r="A261" i="1"/>
  <c r="G316" i="1"/>
  <c r="G74" i="1"/>
  <c r="G338" i="1"/>
  <c r="A19" i="1"/>
  <c r="A371" i="1"/>
  <c r="G184" i="1"/>
  <c r="A151" i="1"/>
  <c r="G30" i="1"/>
  <c r="Z14" i="101"/>
  <c r="G8" i="1"/>
  <c r="A283" i="1"/>
  <c r="G162" i="1"/>
  <c r="G52" i="1"/>
  <c r="A152" i="1"/>
  <c r="A154" i="1"/>
  <c r="E143" i="1"/>
  <c r="L15" i="175" s="1"/>
  <c r="N15" i="175" s="1"/>
  <c r="I51" i="62"/>
  <c r="A153" i="1"/>
  <c r="E141" i="1"/>
  <c r="R9" i="7"/>
  <c r="T9" i="7" s="1"/>
  <c r="E103" i="1"/>
  <c r="E161" i="1"/>
  <c r="E160" i="1" s="1"/>
  <c r="E163" i="1" s="1"/>
  <c r="L16" i="7"/>
  <c r="N16" i="7" s="1"/>
  <c r="K13" i="7"/>
  <c r="R13" i="7"/>
  <c r="T13" i="7" s="1"/>
  <c r="A199" i="1"/>
  <c r="F17" i="7"/>
  <c r="H16" i="7"/>
  <c r="AB11" i="7"/>
  <c r="I17" i="111"/>
  <c r="K16" i="111"/>
  <c r="AA16" i="111"/>
  <c r="R15" i="111"/>
  <c r="AB15" i="111"/>
  <c r="AG15" i="111" s="1"/>
  <c r="E189" i="1"/>
  <c r="K53" i="62"/>
  <c r="K50" i="62"/>
  <c r="E122" i="1"/>
  <c r="I14" i="7" s="1"/>
  <c r="F14" i="175"/>
  <c r="K15" i="204"/>
  <c r="I26" i="204"/>
  <c r="I27" i="204" s="1"/>
  <c r="I20" i="73"/>
  <c r="E272" i="1" s="1"/>
  <c r="F20" i="7" s="1"/>
  <c r="I19" i="73"/>
  <c r="O8" i="7"/>
  <c r="Q8" i="7" s="1"/>
  <c r="E15" i="1"/>
  <c r="I246" i="1"/>
  <c r="I18" i="73"/>
  <c r="E206" i="1" s="1"/>
  <c r="A221" i="1" s="1"/>
  <c r="I59" i="62"/>
  <c r="I62" i="62"/>
  <c r="A1" i="91"/>
  <c r="Z18" i="101" s="1"/>
  <c r="E37" i="1"/>
  <c r="K58" i="62"/>
  <c r="K61" i="62"/>
  <c r="K64" i="62"/>
  <c r="K65" i="62" s="1"/>
  <c r="I65" i="62"/>
  <c r="J16" i="62"/>
  <c r="I72" i="62"/>
  <c r="J8" i="62"/>
  <c r="K8" i="7"/>
  <c r="L33" i="62"/>
  <c r="N32" i="62"/>
  <c r="J34" i="62"/>
  <c r="J37" i="62"/>
  <c r="K17" i="204" l="1"/>
  <c r="K18" i="204" s="1"/>
  <c r="K25" i="204" s="1"/>
  <c r="K19" i="204"/>
  <c r="J24" i="204"/>
  <c r="J20" i="204"/>
  <c r="J26" i="204" s="1"/>
  <c r="J27" i="204" s="1"/>
  <c r="J21" i="204"/>
  <c r="J25" i="204"/>
  <c r="J22" i="204"/>
  <c r="J23" i="204" s="1"/>
  <c r="E250" i="1"/>
  <c r="F19" i="7" s="1"/>
  <c r="H19" i="7" s="1"/>
  <c r="N6" i="204"/>
  <c r="A176" i="1"/>
  <c r="E165" i="1"/>
  <c r="L16" i="175" s="1"/>
  <c r="N16" i="175" s="1"/>
  <c r="E144" i="1"/>
  <c r="I15" i="7" s="1"/>
  <c r="I22" i="7"/>
  <c r="E322" i="1"/>
  <c r="O22" i="7" s="1"/>
  <c r="Q22" i="7" s="1"/>
  <c r="A332" i="1"/>
  <c r="E323" i="1"/>
  <c r="A174" i="1"/>
  <c r="Z16" i="101"/>
  <c r="F23" i="175"/>
  <c r="H23" i="175" s="1"/>
  <c r="E342" i="1"/>
  <c r="J40" i="62"/>
  <c r="K12" i="7"/>
  <c r="R12" i="7"/>
  <c r="K130" i="62"/>
  <c r="K133" i="62"/>
  <c r="I134" i="62"/>
  <c r="I131" i="62"/>
  <c r="A26" i="73"/>
  <c r="Z15" i="101"/>
  <c r="F15" i="175"/>
  <c r="H15" i="175" s="1"/>
  <c r="E164" i="1"/>
  <c r="I16" i="175" s="1"/>
  <c r="K16" i="175" s="1"/>
  <c r="I16" i="7"/>
  <c r="I104" i="62"/>
  <c r="I105" i="62" s="1"/>
  <c r="H20" i="7"/>
  <c r="K15" i="7"/>
  <c r="E183" i="1"/>
  <c r="A197" i="1" s="1"/>
  <c r="L17" i="7"/>
  <c r="N17" i="7" s="1"/>
  <c r="E211" i="1"/>
  <c r="F18" i="7"/>
  <c r="H17" i="7"/>
  <c r="A175" i="1"/>
  <c r="R16" i="111"/>
  <c r="AB16" i="111"/>
  <c r="AG16" i="111" s="1"/>
  <c r="K17" i="111"/>
  <c r="I18" i="111"/>
  <c r="AA17" i="111"/>
  <c r="H14" i="175"/>
  <c r="R14" i="175"/>
  <c r="T14" i="175" s="1"/>
  <c r="E124" i="1"/>
  <c r="O14" i="7" s="1"/>
  <c r="Q14" i="7" s="1"/>
  <c r="A134" i="1"/>
  <c r="K51" i="62"/>
  <c r="K54" i="62"/>
  <c r="E277" i="1"/>
  <c r="A287" i="1"/>
  <c r="L15" i="204"/>
  <c r="L19" i="204" s="1"/>
  <c r="K21" i="204"/>
  <c r="K24" i="204"/>
  <c r="K22" i="204"/>
  <c r="K23" i="204" s="1"/>
  <c r="K20" i="204"/>
  <c r="R8" i="7"/>
  <c r="AB8" i="7" s="1"/>
  <c r="AC9" i="7"/>
  <c r="P1" i="121"/>
  <c r="A1" i="72"/>
  <c r="I73" i="62"/>
  <c r="K72" i="62"/>
  <c r="K73" i="62" s="1"/>
  <c r="I24" i="73"/>
  <c r="E360" i="1" s="1"/>
  <c r="F24" i="7" s="1"/>
  <c r="F16" i="175"/>
  <c r="J17" i="62"/>
  <c r="L16" i="62"/>
  <c r="I80" i="62"/>
  <c r="J9" i="62"/>
  <c r="L8" i="62"/>
  <c r="I66" i="62"/>
  <c r="I69" i="62"/>
  <c r="K69" i="62"/>
  <c r="K66" i="62"/>
  <c r="K62" i="62"/>
  <c r="K59" i="62"/>
  <c r="C11" i="158"/>
  <c r="J35" i="62"/>
  <c r="J38" i="62"/>
  <c r="L34" i="62"/>
  <c r="L37" i="62"/>
  <c r="N37" i="62" s="1"/>
  <c r="R11" i="158" s="1"/>
  <c r="T11" i="158" s="1"/>
  <c r="N33" i="62"/>
  <c r="F11" i="158" s="1"/>
  <c r="H11" i="158" s="1"/>
  <c r="E255" i="1" l="1"/>
  <c r="L19" i="7" s="1"/>
  <c r="A156" i="1"/>
  <c r="I96" i="62"/>
  <c r="R15" i="175"/>
  <c r="T15" i="175" s="1"/>
  <c r="E146" i="1"/>
  <c r="O15" i="7" s="1"/>
  <c r="Q15" i="7" s="1"/>
  <c r="A265" i="1"/>
  <c r="E233" i="1"/>
  <c r="A243" i="1"/>
  <c r="K134" i="62"/>
  <c r="K131" i="62"/>
  <c r="I23" i="7"/>
  <c r="A354" i="1"/>
  <c r="E344" i="1"/>
  <c r="O23" i="7" s="1"/>
  <c r="Q23" i="7" s="1"/>
  <c r="T12" i="7"/>
  <c r="AC12" i="7" s="1"/>
  <c r="AB12" i="7"/>
  <c r="J41" i="62"/>
  <c r="L40" i="62"/>
  <c r="E166" i="1"/>
  <c r="E168" i="1" s="1"/>
  <c r="O16" i="7" s="1"/>
  <c r="Q16" i="7" s="1"/>
  <c r="E185" i="1"/>
  <c r="F17" i="175" s="1"/>
  <c r="E186" i="1"/>
  <c r="I17" i="175" s="1"/>
  <c r="K17" i="175" s="1"/>
  <c r="E187" i="1"/>
  <c r="L17" i="175" s="1"/>
  <c r="N17" i="175" s="1"/>
  <c r="I136" i="62"/>
  <c r="H24" i="7"/>
  <c r="K16" i="7"/>
  <c r="E205" i="1"/>
  <c r="E204" i="1" s="1"/>
  <c r="E209" i="1" s="1"/>
  <c r="L18" i="175" s="1"/>
  <c r="N18" i="175" s="1"/>
  <c r="L18" i="7"/>
  <c r="N18" i="7" s="1"/>
  <c r="I106" i="62"/>
  <c r="I109" i="62"/>
  <c r="A198" i="1"/>
  <c r="A196" i="1"/>
  <c r="E249" i="1"/>
  <c r="E248" i="1" s="1"/>
  <c r="K14" i="7"/>
  <c r="R14" i="7"/>
  <c r="T14" i="7" s="1"/>
  <c r="I97" i="62"/>
  <c r="E271" i="1"/>
  <c r="E270" i="1" s="1"/>
  <c r="E275" i="1" s="1"/>
  <c r="L20" i="175" s="1"/>
  <c r="L20" i="7"/>
  <c r="H18" i="7"/>
  <c r="K18" i="111"/>
  <c r="I19" i="111"/>
  <c r="AA18" i="111"/>
  <c r="R17" i="111"/>
  <c r="AB17" i="111"/>
  <c r="AG17" i="111" s="1"/>
  <c r="E125" i="1"/>
  <c r="J48" i="62"/>
  <c r="E365" i="1"/>
  <c r="A375" i="1"/>
  <c r="L17" i="204"/>
  <c r="L18" i="204" s="1"/>
  <c r="K26" i="204"/>
  <c r="K27" i="204" s="1"/>
  <c r="T8" i="7"/>
  <c r="AB9" i="7"/>
  <c r="V1" i="235"/>
  <c r="A1" i="121"/>
  <c r="Z20" i="101" s="1"/>
  <c r="J13" i="62"/>
  <c r="J10" i="62"/>
  <c r="I81" i="62"/>
  <c r="A27" i="111"/>
  <c r="A27" i="7"/>
  <c r="A27" i="158"/>
  <c r="Z19" i="101"/>
  <c r="A27" i="175"/>
  <c r="L17" i="62"/>
  <c r="N16" i="62"/>
  <c r="C9" i="158" s="1"/>
  <c r="E9" i="158" s="1"/>
  <c r="K74" i="62"/>
  <c r="K77" i="62"/>
  <c r="K70" i="62"/>
  <c r="K67" i="62"/>
  <c r="L9" i="62"/>
  <c r="N8" i="62"/>
  <c r="C8" i="158" s="1"/>
  <c r="E8" i="158" s="1"/>
  <c r="I88" i="62"/>
  <c r="J56" i="62"/>
  <c r="H16" i="175"/>
  <c r="R16" i="175"/>
  <c r="T16" i="175" s="1"/>
  <c r="K80" i="62"/>
  <c r="K81" i="62" s="1"/>
  <c r="I77" i="62"/>
  <c r="I74" i="62"/>
  <c r="I67" i="62"/>
  <c r="I70" i="62"/>
  <c r="J21" i="62"/>
  <c r="J18" i="62"/>
  <c r="E11" i="158"/>
  <c r="L35" i="62"/>
  <c r="N35" i="62" s="1"/>
  <c r="N34" i="62"/>
  <c r="I11" i="158" s="1"/>
  <c r="K11" i="158" s="1"/>
  <c r="L38" i="62"/>
  <c r="N38" i="62" s="1"/>
  <c r="U11" i="158" s="1"/>
  <c r="W11" i="158" s="1"/>
  <c r="E227" i="1" l="1"/>
  <c r="E226" i="1" s="1"/>
  <c r="L10" i="7"/>
  <c r="N10" i="7" s="1"/>
  <c r="E147" i="1"/>
  <c r="R15" i="7"/>
  <c r="T15" i="7" s="1"/>
  <c r="A242" i="1"/>
  <c r="E230" i="1"/>
  <c r="E231" i="1"/>
  <c r="L10" i="175" s="1"/>
  <c r="N10" i="175" s="1"/>
  <c r="A240" i="1"/>
  <c r="A241" i="1"/>
  <c r="F10" i="175"/>
  <c r="A178" i="1"/>
  <c r="E345" i="1"/>
  <c r="E188" i="1"/>
  <c r="I17" i="7" s="1"/>
  <c r="K17" i="7" s="1"/>
  <c r="L41" i="62"/>
  <c r="N40" i="62"/>
  <c r="C12" i="158" s="1"/>
  <c r="E12" i="158" s="1"/>
  <c r="J45" i="62"/>
  <c r="J42" i="62"/>
  <c r="J128" i="62"/>
  <c r="K23" i="7"/>
  <c r="R23" i="7"/>
  <c r="T23" i="7" s="1"/>
  <c r="A285" i="1"/>
  <c r="A220" i="1"/>
  <c r="E274" i="1"/>
  <c r="E273" i="1"/>
  <c r="F20" i="175" s="1"/>
  <c r="H20" i="175" s="1"/>
  <c r="E208" i="1"/>
  <c r="I18" i="175" s="1"/>
  <c r="K18" i="175" s="1"/>
  <c r="A284" i="1"/>
  <c r="A218" i="1"/>
  <c r="A219" i="1"/>
  <c r="A286" i="1"/>
  <c r="E207" i="1"/>
  <c r="F18" i="175" s="1"/>
  <c r="H25" i="7"/>
  <c r="K104" i="62"/>
  <c r="N20" i="7"/>
  <c r="I137" i="62"/>
  <c r="E359" i="1"/>
  <c r="E358" i="1" s="1"/>
  <c r="E361" i="1" s="1"/>
  <c r="F24" i="175" s="1"/>
  <c r="L24" i="7"/>
  <c r="AC8" i="7"/>
  <c r="N22" i="175"/>
  <c r="R22" i="175"/>
  <c r="T22" i="175" s="1"/>
  <c r="I98" i="62"/>
  <c r="I101" i="62"/>
  <c r="I107" i="62"/>
  <c r="I110" i="62"/>
  <c r="K96" i="62"/>
  <c r="K97" i="62" s="1"/>
  <c r="N19" i="7"/>
  <c r="R16" i="7"/>
  <c r="T16" i="7" s="1"/>
  <c r="I20" i="111"/>
  <c r="I21" i="111" s="1"/>
  <c r="K19" i="111"/>
  <c r="AA19" i="111"/>
  <c r="R18" i="111"/>
  <c r="AB18" i="111"/>
  <c r="AG18" i="111" s="1"/>
  <c r="J49" i="62"/>
  <c r="L48" i="62"/>
  <c r="AB13" i="7"/>
  <c r="AC13" i="7"/>
  <c r="L20" i="204"/>
  <c r="L25" i="204"/>
  <c r="L21" i="204"/>
  <c r="L22" i="204"/>
  <c r="L23" i="204" s="1"/>
  <c r="L24" i="204"/>
  <c r="L26" i="204" s="1"/>
  <c r="L27" i="204" s="1"/>
  <c r="J19" i="62"/>
  <c r="J22" i="62"/>
  <c r="K85" i="62"/>
  <c r="K82" i="62"/>
  <c r="AB14" i="7"/>
  <c r="A200" i="1"/>
  <c r="I85" i="62"/>
  <c r="I82" i="62"/>
  <c r="A1" i="235"/>
  <c r="Z21" i="101" s="1"/>
  <c r="J1" i="236"/>
  <c r="K88" i="62"/>
  <c r="K89" i="62" s="1"/>
  <c r="H17" i="175"/>
  <c r="R17" i="175"/>
  <c r="T17" i="175" s="1"/>
  <c r="N17" i="62"/>
  <c r="L21" i="62"/>
  <c r="N21" i="62" s="1"/>
  <c r="L18" i="62"/>
  <c r="I120" i="62"/>
  <c r="A264" i="1"/>
  <c r="E252" i="1"/>
  <c r="I19" i="175" s="1"/>
  <c r="K19" i="175" s="1"/>
  <c r="A263" i="1"/>
  <c r="A262" i="1"/>
  <c r="E253" i="1"/>
  <c r="L19" i="175" s="1"/>
  <c r="N19" i="175" s="1"/>
  <c r="E251" i="1"/>
  <c r="I75" i="62"/>
  <c r="I78" i="62"/>
  <c r="L56" i="62"/>
  <c r="J57" i="62"/>
  <c r="I89" i="62"/>
  <c r="J64" i="62"/>
  <c r="N9" i="62"/>
  <c r="F8" i="158" s="1"/>
  <c r="H8" i="158" s="1"/>
  <c r="L10" i="62"/>
  <c r="L13" i="62"/>
  <c r="N13" i="62" s="1"/>
  <c r="R8" i="158" s="1"/>
  <c r="T8" i="158" s="1"/>
  <c r="K78" i="62"/>
  <c r="K75" i="62"/>
  <c r="J11" i="62"/>
  <c r="J14" i="62"/>
  <c r="E169" i="1"/>
  <c r="L36" i="62"/>
  <c r="N36" i="62" s="1"/>
  <c r="O11" i="158" s="1"/>
  <c r="Q11" i="158" s="1"/>
  <c r="L11" i="158"/>
  <c r="K21" i="111" l="1"/>
  <c r="R21" i="111" s="1"/>
  <c r="I22" i="111"/>
  <c r="R9" i="158"/>
  <c r="T9" i="158" s="1"/>
  <c r="F9" i="158"/>
  <c r="H9" i="158" s="1"/>
  <c r="R10" i="175"/>
  <c r="T10" i="175" s="1"/>
  <c r="H10" i="175"/>
  <c r="E232" i="1"/>
  <c r="E190" i="1"/>
  <c r="O17" i="7" s="1"/>
  <c r="R17" i="7" s="1"/>
  <c r="T17" i="7" s="1"/>
  <c r="J43" i="62"/>
  <c r="J46" i="62"/>
  <c r="J129" i="62"/>
  <c r="L128" i="62"/>
  <c r="L42" i="62"/>
  <c r="N41" i="62"/>
  <c r="F12" i="158" s="1"/>
  <c r="H12" i="158" s="1"/>
  <c r="L45" i="62"/>
  <c r="N45" i="62" s="1"/>
  <c r="R12" i="158" s="1"/>
  <c r="T12" i="158" s="1"/>
  <c r="E276" i="1"/>
  <c r="I20" i="7" s="1"/>
  <c r="E210" i="1"/>
  <c r="I18" i="7" s="1"/>
  <c r="K18" i="7" s="1"/>
  <c r="K7" i="259"/>
  <c r="G7" i="259"/>
  <c r="K7" i="258"/>
  <c r="G7" i="258"/>
  <c r="H24" i="175"/>
  <c r="A374" i="1"/>
  <c r="Q17" i="7"/>
  <c r="K98" i="62"/>
  <c r="K101" i="62"/>
  <c r="A372" i="1"/>
  <c r="K22" i="7"/>
  <c r="R22" i="7"/>
  <c r="T22" i="7" s="1"/>
  <c r="K105" i="62"/>
  <c r="E363" i="1"/>
  <c r="L24" i="175" s="1"/>
  <c r="A373" i="1"/>
  <c r="E362" i="1"/>
  <c r="I99" i="62"/>
  <c r="I102" i="62"/>
  <c r="I138" i="62"/>
  <c r="I141" i="62"/>
  <c r="K136" i="62"/>
  <c r="N24" i="7"/>
  <c r="N25" i="7" s="1"/>
  <c r="R19" i="111"/>
  <c r="AB19" i="111"/>
  <c r="K20" i="111"/>
  <c r="J53" i="62"/>
  <c r="J50" i="62"/>
  <c r="N48" i="62"/>
  <c r="C13" i="158" s="1"/>
  <c r="E13" i="158" s="1"/>
  <c r="L49" i="62"/>
  <c r="E212" i="1"/>
  <c r="O18" i="7" s="1"/>
  <c r="K120" i="62"/>
  <c r="K121" i="62" s="1"/>
  <c r="I83" i="62"/>
  <c r="I86" i="62"/>
  <c r="K83" i="62"/>
  <c r="K86" i="62"/>
  <c r="H18" i="175"/>
  <c r="R18" i="175"/>
  <c r="T18" i="175" s="1"/>
  <c r="N56" i="62"/>
  <c r="L57" i="62"/>
  <c r="G7" i="113"/>
  <c r="L7" i="113"/>
  <c r="AC14" i="7"/>
  <c r="J65" i="62"/>
  <c r="L64" i="62"/>
  <c r="J58" i="62"/>
  <c r="J61" i="62"/>
  <c r="F19" i="175"/>
  <c r="E254" i="1"/>
  <c r="I19" i="7" s="1"/>
  <c r="J96" i="62" s="1"/>
  <c r="I121" i="62"/>
  <c r="K90" i="62"/>
  <c r="K93" i="62"/>
  <c r="A1" i="236"/>
  <c r="Z22" i="101" s="1"/>
  <c r="I1" i="66"/>
  <c r="N10" i="62"/>
  <c r="I8" i="158" s="1"/>
  <c r="K8" i="158" s="1"/>
  <c r="L11" i="62"/>
  <c r="N11" i="62" s="1"/>
  <c r="L14" i="62"/>
  <c r="N14" i="62" s="1"/>
  <c r="U8" i="158" s="1"/>
  <c r="W8" i="158" s="1"/>
  <c r="AB15" i="7"/>
  <c r="AC15" i="7"/>
  <c r="I90" i="62"/>
  <c r="I93" i="62"/>
  <c r="L22" i="62"/>
  <c r="N22" i="62" s="1"/>
  <c r="N18" i="62"/>
  <c r="L19" i="62"/>
  <c r="N19" i="62" s="1"/>
  <c r="I24" i="175"/>
  <c r="K24" i="175" s="1"/>
  <c r="K25" i="175" s="1"/>
  <c r="J72" i="62"/>
  <c r="N11" i="158"/>
  <c r="X11" i="158" s="1"/>
  <c r="AC11" i="158"/>
  <c r="AD11" i="158" s="1"/>
  <c r="N39" i="62"/>
  <c r="E191" i="1" l="1"/>
  <c r="U9" i="158"/>
  <c r="W9" i="158" s="1"/>
  <c r="I9" i="158"/>
  <c r="K9" i="158" s="1"/>
  <c r="A244" i="1"/>
  <c r="I10" i="7"/>
  <c r="J24" i="62" s="1"/>
  <c r="E234" i="1"/>
  <c r="A288" i="1"/>
  <c r="A222" i="1"/>
  <c r="L129" i="62"/>
  <c r="N128" i="62"/>
  <c r="C23" i="158" s="1"/>
  <c r="E278" i="1"/>
  <c r="O20" i="7" s="1"/>
  <c r="Q20" i="7" s="1"/>
  <c r="L46" i="62"/>
  <c r="N46" i="62" s="1"/>
  <c r="U12" i="158" s="1"/>
  <c r="W12" i="158" s="1"/>
  <c r="N42" i="62"/>
  <c r="L43" i="62"/>
  <c r="N43" i="62" s="1"/>
  <c r="J130" i="62"/>
  <c r="J133" i="62"/>
  <c r="L7" i="258"/>
  <c r="H7" i="258"/>
  <c r="L7" i="259"/>
  <c r="H7" i="259"/>
  <c r="G12" i="259"/>
  <c r="H12" i="259" s="1"/>
  <c r="K12" i="258"/>
  <c r="G12" i="258"/>
  <c r="H12" i="258" s="1"/>
  <c r="K12" i="259"/>
  <c r="G9" i="113"/>
  <c r="H9" i="113" s="1"/>
  <c r="G9" i="246" s="1"/>
  <c r="G9" i="258"/>
  <c r="H9" i="258" s="1"/>
  <c r="G9" i="259"/>
  <c r="H9" i="259" s="1"/>
  <c r="K19" i="7"/>
  <c r="E364" i="1"/>
  <c r="I24" i="7" s="1"/>
  <c r="K99" i="62"/>
  <c r="K102" i="62"/>
  <c r="K106" i="62"/>
  <c r="K109" i="62"/>
  <c r="I142" i="62"/>
  <c r="I139" i="62"/>
  <c r="Q18" i="7"/>
  <c r="R18" i="7"/>
  <c r="T18" i="7" s="1"/>
  <c r="J97" i="62"/>
  <c r="L96" i="62"/>
  <c r="K137" i="62"/>
  <c r="E279" i="1"/>
  <c r="I23" i="111"/>
  <c r="K22" i="111"/>
  <c r="R22" i="111" s="1"/>
  <c r="R20" i="111"/>
  <c r="AG19" i="111"/>
  <c r="J51" i="62"/>
  <c r="J54" i="62"/>
  <c r="N49" i="62"/>
  <c r="F13" i="158" s="1"/>
  <c r="H13" i="158" s="1"/>
  <c r="L50" i="62"/>
  <c r="L53" i="62"/>
  <c r="N53" i="62" s="1"/>
  <c r="R13" i="158" s="1"/>
  <c r="T13" i="158" s="1"/>
  <c r="E213" i="1"/>
  <c r="AB16" i="7"/>
  <c r="AC16" i="7"/>
  <c r="I125" i="62"/>
  <c r="I122" i="62"/>
  <c r="J59" i="62"/>
  <c r="J62" i="62"/>
  <c r="C14" i="158"/>
  <c r="G12" i="113"/>
  <c r="L12" i="113"/>
  <c r="J80" i="62"/>
  <c r="Y1" i="158"/>
  <c r="A1" i="66"/>
  <c r="L61" i="62"/>
  <c r="N61" i="62" s="1"/>
  <c r="L58" i="62"/>
  <c r="N57" i="62"/>
  <c r="K125" i="62"/>
  <c r="K122" i="62"/>
  <c r="K94" i="62"/>
  <c r="K91" i="62"/>
  <c r="H19" i="175"/>
  <c r="R19" i="175"/>
  <c r="T19" i="175" s="1"/>
  <c r="J66" i="62"/>
  <c r="J69" i="62"/>
  <c r="H7" i="113"/>
  <c r="M7" i="113"/>
  <c r="J73" i="62"/>
  <c r="L72" i="62"/>
  <c r="L20" i="62"/>
  <c r="N20" i="62" s="1"/>
  <c r="L9" i="158"/>
  <c r="N9" i="158" s="1"/>
  <c r="I91" i="62"/>
  <c r="I94" i="62"/>
  <c r="L8" i="158"/>
  <c r="N8" i="158" s="1"/>
  <c r="L12" i="62"/>
  <c r="N12" i="62" s="1"/>
  <c r="E256" i="1"/>
  <c r="A266" i="1"/>
  <c r="N64" i="62"/>
  <c r="L65" i="62"/>
  <c r="J25" i="62" l="1"/>
  <c r="L24" i="62"/>
  <c r="K10" i="7"/>
  <c r="E235" i="1"/>
  <c r="O10" i="7"/>
  <c r="Q10" i="7" s="1"/>
  <c r="L12" i="158"/>
  <c r="N12" i="158" s="1"/>
  <c r="L44" i="62"/>
  <c r="N44" i="62" s="1"/>
  <c r="O12" i="158" s="1"/>
  <c r="Q12" i="158" s="1"/>
  <c r="J131" i="62"/>
  <c r="J134" i="62"/>
  <c r="I12" i="158"/>
  <c r="L133" i="62"/>
  <c r="N133" i="62" s="1"/>
  <c r="R23" i="158" s="1"/>
  <c r="L130" i="62"/>
  <c r="N129" i="62"/>
  <c r="F23" i="158" s="1"/>
  <c r="H7" i="241"/>
  <c r="I7" i="241" s="1"/>
  <c r="J7" i="241" s="1"/>
  <c r="L12" i="258"/>
  <c r="A376" i="1"/>
  <c r="E366" i="1"/>
  <c r="E367" i="1" s="1"/>
  <c r="I29" i="258"/>
  <c r="I49" i="259"/>
  <c r="I28" i="259"/>
  <c r="I42" i="259"/>
  <c r="I50" i="258"/>
  <c r="I43" i="258"/>
  <c r="L12" i="259"/>
  <c r="K24" i="7"/>
  <c r="J136" i="62"/>
  <c r="N20" i="175"/>
  <c r="R20" i="175"/>
  <c r="T20" i="175" s="1"/>
  <c r="J101" i="62"/>
  <c r="J98" i="62"/>
  <c r="J104" i="62"/>
  <c r="K20" i="7"/>
  <c r="R20" i="7"/>
  <c r="T20" i="7" s="1"/>
  <c r="L97" i="62"/>
  <c r="N96" i="62"/>
  <c r="C19" i="158" s="1"/>
  <c r="E19" i="158" s="1"/>
  <c r="K138" i="62"/>
  <c r="K141" i="62"/>
  <c r="O19" i="7"/>
  <c r="K107" i="62"/>
  <c r="K110" i="62"/>
  <c r="K23" i="111"/>
  <c r="I24" i="111"/>
  <c r="L54" i="62"/>
  <c r="N54" i="62" s="1"/>
  <c r="U13" i="158" s="1"/>
  <c r="W13" i="158" s="1"/>
  <c r="N50" i="62"/>
  <c r="I13" i="158" s="1"/>
  <c r="K13" i="158" s="1"/>
  <c r="L51" i="62"/>
  <c r="N51" i="62" s="1"/>
  <c r="G7" i="246"/>
  <c r="H5" i="241"/>
  <c r="E257" i="1"/>
  <c r="N15" i="62"/>
  <c r="O8" i="158"/>
  <c r="J70" i="62"/>
  <c r="J67" i="62"/>
  <c r="J42" i="113"/>
  <c r="J28" i="113"/>
  <c r="A12" i="83"/>
  <c r="A12" i="84"/>
  <c r="Z23" i="101"/>
  <c r="J49" i="113"/>
  <c r="AB17" i="7"/>
  <c r="M12" i="113"/>
  <c r="H12" i="113"/>
  <c r="C15" i="158"/>
  <c r="J88" i="62"/>
  <c r="J74" i="62"/>
  <c r="J77" i="62"/>
  <c r="K123" i="62"/>
  <c r="K126" i="62"/>
  <c r="R14" i="158"/>
  <c r="T14" i="158" s="1"/>
  <c r="H25" i="175"/>
  <c r="L66" i="62"/>
  <c r="N65" i="62"/>
  <c r="F15" i="158" s="1"/>
  <c r="H15" i="158" s="1"/>
  <c r="L69" i="62"/>
  <c r="N69" i="62" s="1"/>
  <c r="R15" i="158" s="1"/>
  <c r="T15" i="158" s="1"/>
  <c r="N72" i="62"/>
  <c r="L73" i="62"/>
  <c r="L59" i="62"/>
  <c r="N59" i="62" s="1"/>
  <c r="N58" i="62"/>
  <c r="L62" i="62"/>
  <c r="N62" i="62" s="1"/>
  <c r="E14" i="158"/>
  <c r="O9" i="158"/>
  <c r="Q9" i="158" s="1"/>
  <c r="X9" i="158" s="1"/>
  <c r="N23" i="62"/>
  <c r="F14" i="158"/>
  <c r="H14" i="158" s="1"/>
  <c r="A1" i="158"/>
  <c r="P1" i="62"/>
  <c r="J81" i="62"/>
  <c r="L80" i="62"/>
  <c r="I123" i="62"/>
  <c r="I126" i="62"/>
  <c r="L25" i="62" l="1"/>
  <c r="N24" i="62"/>
  <c r="J29" i="62"/>
  <c r="J26" i="62"/>
  <c r="R10" i="7"/>
  <c r="T10" i="7" s="1"/>
  <c r="T25" i="7" s="1"/>
  <c r="O24" i="7"/>
  <c r="Q24" i="7" s="1"/>
  <c r="K12" i="158"/>
  <c r="X12" i="158" s="1"/>
  <c r="AC12" i="158"/>
  <c r="AD12" i="158" s="1"/>
  <c r="L131" i="62"/>
  <c r="N131" i="62" s="1"/>
  <c r="N130" i="62"/>
  <c r="I23" i="158" s="1"/>
  <c r="L134" i="62"/>
  <c r="N134" i="62" s="1"/>
  <c r="U23" i="158" s="1"/>
  <c r="N47" i="62"/>
  <c r="K25" i="7"/>
  <c r="K11" i="258" s="1"/>
  <c r="G8" i="113"/>
  <c r="H8" i="113" s="1"/>
  <c r="G8" i="258"/>
  <c r="H8" i="258" s="1"/>
  <c r="G8" i="259"/>
  <c r="H8" i="259" s="1"/>
  <c r="K11" i="259"/>
  <c r="J137" i="62"/>
  <c r="L136" i="62"/>
  <c r="L98" i="62"/>
  <c r="L101" i="62"/>
  <c r="N101" i="62" s="1"/>
  <c r="R19" i="158" s="1"/>
  <c r="T19" i="158" s="1"/>
  <c r="N97" i="62"/>
  <c r="F19" i="158" s="1"/>
  <c r="H19" i="158" s="1"/>
  <c r="N24" i="175"/>
  <c r="R24" i="175"/>
  <c r="T24" i="175" s="1"/>
  <c r="J99" i="62"/>
  <c r="J102" i="62"/>
  <c r="Q19" i="7"/>
  <c r="R19" i="7"/>
  <c r="T19" i="7" s="1"/>
  <c r="K139" i="62"/>
  <c r="K142" i="62"/>
  <c r="N23" i="175"/>
  <c r="R23" i="175"/>
  <c r="T23" i="175" s="1"/>
  <c r="J105" i="62"/>
  <c r="L104" i="62"/>
  <c r="K24" i="111"/>
  <c r="K25" i="111" s="1"/>
  <c r="R25" i="111" s="1"/>
  <c r="F15" i="66" s="1"/>
  <c r="AA24" i="111"/>
  <c r="R23" i="111"/>
  <c r="L52" i="62"/>
  <c r="N52" i="62" s="1"/>
  <c r="L13" i="158"/>
  <c r="N13" i="158" s="1"/>
  <c r="G12" i="246"/>
  <c r="H10" i="241"/>
  <c r="G7" i="241"/>
  <c r="I5" i="241"/>
  <c r="J5" i="241" s="1"/>
  <c r="S1" i="111"/>
  <c r="A1" i="62"/>
  <c r="U14" i="158"/>
  <c r="W14" i="158" s="1"/>
  <c r="C16" i="158"/>
  <c r="J75" i="62"/>
  <c r="J78" i="62"/>
  <c r="J85" i="62"/>
  <c r="J82" i="62"/>
  <c r="J120" i="62"/>
  <c r="L74" i="62"/>
  <c r="L77" i="62"/>
  <c r="N77" i="62" s="1"/>
  <c r="R16" i="158" s="1"/>
  <c r="T16" i="158" s="1"/>
  <c r="N73" i="62"/>
  <c r="L67" i="62"/>
  <c r="N67" i="62" s="1"/>
  <c r="N66" i="62"/>
  <c r="L70" i="62"/>
  <c r="N70" i="62" s="1"/>
  <c r="U15" i="158" s="1"/>
  <c r="W15" i="158" s="1"/>
  <c r="J89" i="62"/>
  <c r="L88" i="62"/>
  <c r="AC9" i="158"/>
  <c r="AD9" i="158" s="1"/>
  <c r="H14" i="66"/>
  <c r="Z24" i="101"/>
  <c r="I14" i="158"/>
  <c r="K14" i="158" s="1"/>
  <c r="AB18" i="7"/>
  <c r="AC18" i="7"/>
  <c r="E15" i="158"/>
  <c r="AC17" i="7"/>
  <c r="L81" i="62"/>
  <c r="N80" i="62"/>
  <c r="L14" i="158"/>
  <c r="N14" i="158" s="1"/>
  <c r="L60" i="62"/>
  <c r="N60" i="62" s="1"/>
  <c r="N63" i="62" s="1"/>
  <c r="Q8" i="158"/>
  <c r="X8" i="158" s="1"/>
  <c r="AC8" i="158"/>
  <c r="AD8" i="158" s="1"/>
  <c r="L132" i="62" l="1"/>
  <c r="N132" i="62" s="1"/>
  <c r="O23" i="158" s="1"/>
  <c r="L23" i="158"/>
  <c r="J30" i="62"/>
  <c r="J27" i="62"/>
  <c r="C10" i="158"/>
  <c r="E10" i="158" s="1"/>
  <c r="N25" i="62"/>
  <c r="F10" i="158" s="1"/>
  <c r="H10" i="158" s="1"/>
  <c r="L29" i="62"/>
  <c r="N29" i="62" s="1"/>
  <c r="R10" i="158" s="1"/>
  <c r="T10" i="158" s="1"/>
  <c r="L26" i="62"/>
  <c r="R24" i="7"/>
  <c r="T24" i="7" s="1"/>
  <c r="N135" i="62"/>
  <c r="L11" i="113"/>
  <c r="G22" i="259"/>
  <c r="H22" i="259" s="1"/>
  <c r="K22" i="259"/>
  <c r="K22" i="258"/>
  <c r="G22" i="258"/>
  <c r="H22" i="258" s="1"/>
  <c r="L137" i="62"/>
  <c r="N136" i="62"/>
  <c r="C24" i="158" s="1"/>
  <c r="J138" i="62"/>
  <c r="J141" i="62"/>
  <c r="N25" i="175"/>
  <c r="L105" i="62"/>
  <c r="N104" i="62"/>
  <c r="C20" i="158" s="1"/>
  <c r="E20" i="158" s="1"/>
  <c r="A6" i="255"/>
  <c r="D6" i="255" s="1"/>
  <c r="D11" i="249" s="1"/>
  <c r="E11" i="249" s="1"/>
  <c r="E12" i="249" s="1"/>
  <c r="T25" i="175"/>
  <c r="Q25" i="7"/>
  <c r="J109" i="62"/>
  <c r="J106" i="62"/>
  <c r="L99" i="62"/>
  <c r="N99" i="62" s="1"/>
  <c r="L102" i="62"/>
  <c r="N102" i="62" s="1"/>
  <c r="U19" i="158" s="1"/>
  <c r="W19" i="158" s="1"/>
  <c r="N98" i="62"/>
  <c r="I19" i="158" s="1"/>
  <c r="K19" i="158" s="1"/>
  <c r="J15" i="66"/>
  <c r="L22" i="113"/>
  <c r="G22" i="113"/>
  <c r="H22" i="113" s="1"/>
  <c r="R24" i="111"/>
  <c r="AB24" i="111"/>
  <c r="N55" i="62"/>
  <c r="O13" i="158"/>
  <c r="G5" i="241"/>
  <c r="I10" i="241"/>
  <c r="J10" i="241" s="1"/>
  <c r="G8" i="246"/>
  <c r="H6" i="241"/>
  <c r="N88" i="62"/>
  <c r="L89" i="62"/>
  <c r="L68" i="62"/>
  <c r="N68" i="62" s="1"/>
  <c r="O15" i="158" s="1"/>
  <c r="Q15" i="158" s="1"/>
  <c r="L15" i="158"/>
  <c r="N15" i="158" s="1"/>
  <c r="AB22" i="7"/>
  <c r="L85" i="62"/>
  <c r="N85" i="62" s="1"/>
  <c r="N81" i="62"/>
  <c r="L82" i="62"/>
  <c r="J121" i="62"/>
  <c r="L120" i="62"/>
  <c r="C17" i="158"/>
  <c r="J93" i="62"/>
  <c r="J90" i="62"/>
  <c r="F16" i="158"/>
  <c r="H16" i="158" s="1"/>
  <c r="A1" i="111"/>
  <c r="K1" i="141"/>
  <c r="Z25" i="101"/>
  <c r="A26" i="158"/>
  <c r="O14" i="158"/>
  <c r="Q14" i="158" s="1"/>
  <c r="X14" i="158" s="1"/>
  <c r="I15" i="158"/>
  <c r="N74" i="62"/>
  <c r="L75" i="62"/>
  <c r="N75" i="62" s="1"/>
  <c r="L78" i="62"/>
  <c r="N78" i="62" s="1"/>
  <c r="J86" i="62"/>
  <c r="J83" i="62"/>
  <c r="E16" i="158"/>
  <c r="L100" i="62" l="1"/>
  <c r="N100" i="62" s="1"/>
  <c r="O19" i="158" s="1"/>
  <c r="Q19" i="158" s="1"/>
  <c r="L19" i="158"/>
  <c r="N19" i="158" s="1"/>
  <c r="L30" i="62"/>
  <c r="N30" i="62" s="1"/>
  <c r="U10" i="158" s="1"/>
  <c r="W10" i="158" s="1"/>
  <c r="L27" i="62"/>
  <c r="N27" i="62" s="1"/>
  <c r="N26" i="62"/>
  <c r="F17" i="158"/>
  <c r="H17" i="158" s="1"/>
  <c r="L22" i="259"/>
  <c r="E13" i="249"/>
  <c r="F29" i="66" s="1"/>
  <c r="G41" i="113" s="1"/>
  <c r="H41" i="259"/>
  <c r="H42" i="258"/>
  <c r="H41" i="113"/>
  <c r="L22" i="258"/>
  <c r="G10" i="113"/>
  <c r="H10" i="113" s="1"/>
  <c r="G10" i="246" s="1"/>
  <c r="G10" i="259"/>
  <c r="G10" i="258"/>
  <c r="K13" i="258"/>
  <c r="G13" i="259"/>
  <c r="G13" i="258"/>
  <c r="K13" i="259"/>
  <c r="J142" i="62"/>
  <c r="J139" i="62"/>
  <c r="L138" i="62"/>
  <c r="L141" i="62"/>
  <c r="N141" i="62" s="1"/>
  <c r="R24" i="158" s="1"/>
  <c r="N137" i="62"/>
  <c r="F24" i="158" s="1"/>
  <c r="J107" i="62"/>
  <c r="J110" i="62"/>
  <c r="L106" i="62"/>
  <c r="L109" i="62"/>
  <c r="N109" i="62" s="1"/>
  <c r="R20" i="158" s="1"/>
  <c r="T20" i="158" s="1"/>
  <c r="N105" i="62"/>
  <c r="F20" i="158" s="1"/>
  <c r="H20" i="158" s="1"/>
  <c r="F30" i="66"/>
  <c r="N103" i="62"/>
  <c r="G13" i="113"/>
  <c r="L13" i="113"/>
  <c r="AG24" i="111"/>
  <c r="AB25" i="111"/>
  <c r="AG25" i="111" s="1"/>
  <c r="H20" i="241"/>
  <c r="G23" i="246"/>
  <c r="I23" i="246" s="1"/>
  <c r="M22" i="113"/>
  <c r="Q13" i="158"/>
  <c r="X13" i="158" s="1"/>
  <c r="AC13" i="158"/>
  <c r="AD13" i="158" s="1"/>
  <c r="N71" i="62"/>
  <c r="G10" i="241"/>
  <c r="I6" i="241"/>
  <c r="J6" i="241" s="1"/>
  <c r="L76" i="62"/>
  <c r="N76" i="62" s="1"/>
  <c r="N79" i="62" s="1"/>
  <c r="L16" i="158"/>
  <c r="N16" i="158" s="1"/>
  <c r="H15" i="66"/>
  <c r="Z26" i="101"/>
  <c r="R17" i="158"/>
  <c r="T17" i="158" s="1"/>
  <c r="AC14" i="158"/>
  <c r="AD14" i="158" s="1"/>
  <c r="I16" i="158"/>
  <c r="L121" i="62"/>
  <c r="N120" i="62"/>
  <c r="AC22" i="7"/>
  <c r="AC25" i="7" s="1"/>
  <c r="B8" i="83"/>
  <c r="B8" i="84" s="1"/>
  <c r="N89" i="62"/>
  <c r="L93" i="62"/>
  <c r="N93" i="62" s="1"/>
  <c r="R18" i="158" s="1"/>
  <c r="T18" i="158" s="1"/>
  <c r="L90" i="62"/>
  <c r="U16" i="158"/>
  <c r="W16" i="158" s="1"/>
  <c r="K15" i="158"/>
  <c r="X15" i="158" s="1"/>
  <c r="AC15" i="158"/>
  <c r="AD15" i="158" s="1"/>
  <c r="A1" i="141"/>
  <c r="I1" i="79"/>
  <c r="J91" i="62"/>
  <c r="J94" i="62"/>
  <c r="E17" i="158"/>
  <c r="J122" i="62"/>
  <c r="J125" i="62"/>
  <c r="L83" i="62"/>
  <c r="N83" i="62" s="1"/>
  <c r="N82" i="62"/>
  <c r="L86" i="62"/>
  <c r="N86" i="62" s="1"/>
  <c r="C18" i="158"/>
  <c r="X19" i="158" l="1"/>
  <c r="H21" i="158"/>
  <c r="N144" i="62"/>
  <c r="I10" i="158"/>
  <c r="K10" i="158" s="1"/>
  <c r="L28" i="62"/>
  <c r="N28" i="62" s="1"/>
  <c r="O10" i="158" s="1"/>
  <c r="Q10" i="158" s="1"/>
  <c r="L10" i="158"/>
  <c r="N10" i="158" s="1"/>
  <c r="U17" i="158"/>
  <c r="W17" i="158" s="1"/>
  <c r="K42" i="258"/>
  <c r="G41" i="259"/>
  <c r="G42" i="259" s="1"/>
  <c r="G42" i="258"/>
  <c r="K41" i="259"/>
  <c r="L41" i="113"/>
  <c r="M41" i="113" s="1"/>
  <c r="G11" i="113"/>
  <c r="H11" i="113" s="1"/>
  <c r="G11" i="246" s="1"/>
  <c r="G11" i="259"/>
  <c r="H10" i="259"/>
  <c r="G11" i="258"/>
  <c r="H10" i="258"/>
  <c r="L42" i="258"/>
  <c r="K42" i="259"/>
  <c r="K43" i="258"/>
  <c r="H8" i="241"/>
  <c r="I8" i="241" s="1"/>
  <c r="J8" i="241" s="1"/>
  <c r="H13" i="258"/>
  <c r="L13" i="258"/>
  <c r="G43" i="258"/>
  <c r="L13" i="259"/>
  <c r="H13" i="259"/>
  <c r="L41" i="259"/>
  <c r="L142" i="62"/>
  <c r="N142" i="62" s="1"/>
  <c r="U24" i="158" s="1"/>
  <c r="W24" i="158" s="1"/>
  <c r="L139" i="62"/>
  <c r="N139" i="62" s="1"/>
  <c r="N138" i="62"/>
  <c r="I24" i="158" s="1"/>
  <c r="L42" i="113"/>
  <c r="M13" i="113"/>
  <c r="H13" i="113"/>
  <c r="L107" i="62"/>
  <c r="N107" i="62" s="1"/>
  <c r="L110" i="62"/>
  <c r="N110" i="62" s="1"/>
  <c r="U20" i="158" s="1"/>
  <c r="W20" i="158" s="1"/>
  <c r="N106" i="62"/>
  <c r="I20" i="158" s="1"/>
  <c r="K20" i="158" s="1"/>
  <c r="G42" i="113"/>
  <c r="I20" i="241"/>
  <c r="J20" i="241" s="1"/>
  <c r="G6" i="241"/>
  <c r="I17" i="158"/>
  <c r="I1" i="116"/>
  <c r="A1" i="79"/>
  <c r="F18" i="158"/>
  <c r="H18" i="158" s="1"/>
  <c r="L125" i="62"/>
  <c r="N125" i="62" s="1"/>
  <c r="L122" i="62"/>
  <c r="N121" i="62"/>
  <c r="O16" i="158"/>
  <c r="Q16" i="158" s="1"/>
  <c r="J126" i="62"/>
  <c r="J123" i="62"/>
  <c r="C22" i="158"/>
  <c r="K16" i="158"/>
  <c r="L17" i="158"/>
  <c r="N17" i="158" s="1"/>
  <c r="L84" i="62"/>
  <c r="N84" i="62" s="1"/>
  <c r="Z27" i="101"/>
  <c r="A26" i="111"/>
  <c r="E18" i="158"/>
  <c r="N90" i="62"/>
  <c r="L91" i="62"/>
  <c r="N91" i="62" s="1"/>
  <c r="L94" i="62"/>
  <c r="N94" i="62" s="1"/>
  <c r="N150" i="62" l="1"/>
  <c r="W21" i="158"/>
  <c r="N149" i="62"/>
  <c r="L140" i="62"/>
  <c r="N140" i="62" s="1"/>
  <c r="O24" i="158" s="1"/>
  <c r="L24" i="158"/>
  <c r="X10" i="158"/>
  <c r="K21" i="158"/>
  <c r="F22" i="158"/>
  <c r="N145" i="62"/>
  <c r="L108" i="62"/>
  <c r="N108" i="62" s="1"/>
  <c r="O20" i="158" s="1"/>
  <c r="Q20" i="158" s="1"/>
  <c r="L20" i="158"/>
  <c r="N20" i="158" s="1"/>
  <c r="X20" i="158" s="1"/>
  <c r="N31" i="62"/>
  <c r="O17" i="158"/>
  <c r="Q17" i="158" s="1"/>
  <c r="L42" i="259"/>
  <c r="L43" i="258"/>
  <c r="G14" i="113"/>
  <c r="H14" i="113" s="1"/>
  <c r="D24" i="184" s="1"/>
  <c r="H24" i="184" s="1"/>
  <c r="H7" i="184" s="1"/>
  <c r="D26" i="184" s="1"/>
  <c r="H15" i="184" s="1"/>
  <c r="F16" i="66" s="1"/>
  <c r="G8" i="241"/>
  <c r="H9" i="241"/>
  <c r="I9" i="241" s="1"/>
  <c r="J9" i="241" s="1"/>
  <c r="M11" i="113"/>
  <c r="N143" i="62"/>
  <c r="G44" i="258"/>
  <c r="H43" i="258"/>
  <c r="H11" i="258"/>
  <c r="L11" i="258"/>
  <c r="G14" i="258"/>
  <c r="G43" i="259"/>
  <c r="H42" i="259"/>
  <c r="L11" i="259"/>
  <c r="H11" i="259"/>
  <c r="G14" i="259"/>
  <c r="M42" i="113"/>
  <c r="H11" i="241"/>
  <c r="I11" i="241" s="1"/>
  <c r="J11" i="241" s="1"/>
  <c r="G13" i="246"/>
  <c r="G43" i="113"/>
  <c r="H42" i="113"/>
  <c r="H39" i="241"/>
  <c r="G44" i="246"/>
  <c r="I44" i="246" s="1"/>
  <c r="G20" i="241"/>
  <c r="H22" i="158"/>
  <c r="E23" i="158"/>
  <c r="Q23" i="158"/>
  <c r="N24" i="158"/>
  <c r="X16" i="158"/>
  <c r="N87" i="62"/>
  <c r="AC16" i="158"/>
  <c r="AD16" i="158" s="1"/>
  <c r="L126" i="62"/>
  <c r="N126" i="62" s="1"/>
  <c r="L123" i="62"/>
  <c r="N123" i="62" s="1"/>
  <c r="N122" i="62"/>
  <c r="Z28" i="101"/>
  <c r="A28" i="111"/>
  <c r="L92" i="62"/>
  <c r="N92" i="62" s="1"/>
  <c r="O18" i="158" s="1"/>
  <c r="Q18" i="158" s="1"/>
  <c r="L18" i="158"/>
  <c r="N18" i="158" s="1"/>
  <c r="K17" i="158"/>
  <c r="I18" i="158"/>
  <c r="U18" i="158"/>
  <c r="W18" i="158" s="1"/>
  <c r="E22" i="158"/>
  <c r="R22" i="158"/>
  <c r="T22" i="158" s="1"/>
  <c r="I1" i="205"/>
  <c r="A1" i="116"/>
  <c r="N21" i="158" l="1"/>
  <c r="I22" i="158"/>
  <c r="Q21" i="158"/>
  <c r="L22" i="158"/>
  <c r="AC17" i="158"/>
  <c r="AD17" i="158" s="1"/>
  <c r="N111" i="62"/>
  <c r="E21" i="158" s="1"/>
  <c r="N146" i="62"/>
  <c r="N147" i="62"/>
  <c r="G14" i="246"/>
  <c r="G9" i="241"/>
  <c r="H12" i="241"/>
  <c r="I12" i="241" s="1"/>
  <c r="J12" i="241" s="1"/>
  <c r="G23" i="258"/>
  <c r="K23" i="258"/>
  <c r="L23" i="113"/>
  <c r="K23" i="259"/>
  <c r="G23" i="113"/>
  <c r="H23" i="113" s="1"/>
  <c r="H21" i="241" s="1"/>
  <c r="I21" i="241" s="1"/>
  <c r="J21" i="241" s="1"/>
  <c r="G21" i="241" s="1"/>
  <c r="G23" i="259"/>
  <c r="H23" i="259" s="1"/>
  <c r="H14" i="259"/>
  <c r="H23" i="258"/>
  <c r="G45" i="259"/>
  <c r="H43" i="259"/>
  <c r="I39" i="241"/>
  <c r="H14" i="258"/>
  <c r="H44" i="258"/>
  <c r="G46" i="258"/>
  <c r="M23" i="113"/>
  <c r="G12" i="241"/>
  <c r="G11" i="241"/>
  <c r="H43" i="113"/>
  <c r="G45" i="113"/>
  <c r="G45" i="246"/>
  <c r="I45" i="246" s="1"/>
  <c r="H40" i="241"/>
  <c r="E24" i="158"/>
  <c r="H23" i="158"/>
  <c r="H24" i="158"/>
  <c r="K23" i="158"/>
  <c r="U22" i="158"/>
  <c r="W22" i="158" s="1"/>
  <c r="T23" i="158"/>
  <c r="Q24" i="158"/>
  <c r="N95" i="62"/>
  <c r="A29" i="111"/>
  <c r="Z29" i="101"/>
  <c r="L124" i="62"/>
  <c r="N124" i="62" s="1"/>
  <c r="N22" i="158"/>
  <c r="A1" i="205"/>
  <c r="K1" i="184"/>
  <c r="K18" i="158"/>
  <c r="X18" i="158" s="1"/>
  <c r="AC18" i="158"/>
  <c r="AD18" i="158" s="1"/>
  <c r="X17" i="158"/>
  <c r="H25" i="158" l="1"/>
  <c r="F8" i="66" s="1"/>
  <c r="E25" i="158"/>
  <c r="F7" i="66" s="1"/>
  <c r="T21" i="158"/>
  <c r="N148" i="62"/>
  <c r="G15" i="259"/>
  <c r="G15" i="113"/>
  <c r="K15" i="258"/>
  <c r="G24" i="246"/>
  <c r="I24" i="246" s="1"/>
  <c r="L23" i="258"/>
  <c r="L23" i="259"/>
  <c r="H15" i="259"/>
  <c r="J39" i="241"/>
  <c r="I40" i="241"/>
  <c r="I41" i="241" s="1"/>
  <c r="I43" i="241" s="1"/>
  <c r="G51" i="258"/>
  <c r="H46" i="258"/>
  <c r="G50" i="259"/>
  <c r="H45" i="259"/>
  <c r="G50" i="113"/>
  <c r="H50" i="113" s="1"/>
  <c r="H45" i="113"/>
  <c r="G46" i="246"/>
  <c r="I46" i="246" s="1"/>
  <c r="H41" i="241"/>
  <c r="N127" i="62"/>
  <c r="N151" i="62" s="1"/>
  <c r="N23" i="158"/>
  <c r="N25" i="158" s="1"/>
  <c r="F10" i="66" s="1"/>
  <c r="K24" i="158"/>
  <c r="A30" i="111"/>
  <c r="Z30" i="101"/>
  <c r="K1" i="163"/>
  <c r="A1" i="184"/>
  <c r="K22" i="158"/>
  <c r="K25" i="158" s="1"/>
  <c r="O22" i="158"/>
  <c r="Q22" i="158" s="1"/>
  <c r="K18" i="259" l="1"/>
  <c r="G18" i="258"/>
  <c r="H18" i="258" s="1"/>
  <c r="N18" i="258" s="1"/>
  <c r="G18" i="113"/>
  <c r="H18" i="113" s="1"/>
  <c r="H16" i="241" s="1"/>
  <c r="G18" i="259"/>
  <c r="H18" i="259" s="1"/>
  <c r="N18" i="259" s="1"/>
  <c r="K18" i="258"/>
  <c r="L18" i="113"/>
  <c r="Q25" i="158"/>
  <c r="F11" i="66" s="1"/>
  <c r="X21" i="158"/>
  <c r="M15" i="113"/>
  <c r="G16" i="258"/>
  <c r="H16" i="258" s="1"/>
  <c r="N16" i="258" s="1"/>
  <c r="G16" i="113"/>
  <c r="H16" i="113" s="1"/>
  <c r="G16" i="259"/>
  <c r="H16" i="259" s="1"/>
  <c r="N16" i="259" s="1"/>
  <c r="K16" i="258"/>
  <c r="L16" i="258" s="1"/>
  <c r="L16" i="113"/>
  <c r="K16" i="259"/>
  <c r="L16" i="259" s="1"/>
  <c r="G15" i="258"/>
  <c r="H15" i="258" s="1"/>
  <c r="L15" i="113"/>
  <c r="K15" i="259"/>
  <c r="L15" i="259" s="1"/>
  <c r="H15" i="113"/>
  <c r="G15" i="246" s="1"/>
  <c r="L18" i="259"/>
  <c r="L18" i="258"/>
  <c r="H51" i="258"/>
  <c r="N51" i="258" s="1"/>
  <c r="G39" i="241"/>
  <c r="J40" i="241"/>
  <c r="J41" i="241" s="1"/>
  <c r="J43" i="241" s="1"/>
  <c r="H50" i="259"/>
  <c r="N50" i="259" s="1"/>
  <c r="G48" i="246"/>
  <c r="I48" i="246" s="1"/>
  <c r="H43" i="241"/>
  <c r="H48" i="241"/>
  <c r="G53" i="246"/>
  <c r="I53" i="246" s="1"/>
  <c r="O50" i="113"/>
  <c r="W23" i="158"/>
  <c r="T24" i="158"/>
  <c r="X24" i="158" s="1"/>
  <c r="H13" i="241"/>
  <c r="I16" i="241"/>
  <c r="J16" i="241" s="1"/>
  <c r="G16" i="241" s="1"/>
  <c r="O18" i="113"/>
  <c r="G18" i="246"/>
  <c r="K1" i="210"/>
  <c r="A1" i="163"/>
  <c r="X22" i="158"/>
  <c r="Z31" i="101"/>
  <c r="H16" i="66"/>
  <c r="AC22" i="158"/>
  <c r="AD22" i="158" s="1"/>
  <c r="AD25" i="158" s="1"/>
  <c r="M18" i="113"/>
  <c r="K19" i="259" l="1"/>
  <c r="K19" i="258"/>
  <c r="G19" i="258"/>
  <c r="H19" i="258" s="1"/>
  <c r="N19" i="258" s="1"/>
  <c r="G19" i="113"/>
  <c r="H19" i="113" s="1"/>
  <c r="H17" i="241" s="1"/>
  <c r="I17" i="241" s="1"/>
  <c r="J17" i="241" s="1"/>
  <c r="G19" i="259"/>
  <c r="H19" i="259" s="1"/>
  <c r="N19" i="259" s="1"/>
  <c r="L19" i="113"/>
  <c r="T25" i="158"/>
  <c r="F12" i="66" s="1"/>
  <c r="H14" i="241"/>
  <c r="G16" i="246"/>
  <c r="O16" i="113"/>
  <c r="X23" i="158"/>
  <c r="W25" i="158"/>
  <c r="F13" i="66" s="1"/>
  <c r="M16" i="113"/>
  <c r="L15" i="258"/>
  <c r="L19" i="259"/>
  <c r="G40" i="241"/>
  <c r="L19" i="258"/>
  <c r="G41" i="241"/>
  <c r="I13" i="241"/>
  <c r="J13" i="241" s="1"/>
  <c r="A1" i="210"/>
  <c r="K1" i="209"/>
  <c r="H17" i="66"/>
  <c r="Z32" i="101"/>
  <c r="M19" i="113"/>
  <c r="F9" i="66"/>
  <c r="G19" i="246" l="1"/>
  <c r="G20" i="258"/>
  <c r="H20" i="258" s="1"/>
  <c r="L20" i="113"/>
  <c r="K20" i="259"/>
  <c r="L20" i="259" s="1"/>
  <c r="G20" i="113"/>
  <c r="H20" i="113" s="1"/>
  <c r="G20" i="259"/>
  <c r="H20" i="259" s="1"/>
  <c r="K20" i="258"/>
  <c r="L20" i="258" s="1"/>
  <c r="G21" i="259"/>
  <c r="H21" i="259" s="1"/>
  <c r="K21" i="258"/>
  <c r="K21" i="259"/>
  <c r="L21" i="113"/>
  <c r="G21" i="258"/>
  <c r="H21" i="258" s="1"/>
  <c r="G21" i="113"/>
  <c r="H21" i="113" s="1"/>
  <c r="X25" i="158"/>
  <c r="I14" i="241"/>
  <c r="J14" i="241" s="1"/>
  <c r="G14" i="241"/>
  <c r="O19" i="113"/>
  <c r="G17" i="258"/>
  <c r="K17" i="259"/>
  <c r="K17" i="258"/>
  <c r="G17" i="259"/>
  <c r="I48" i="241"/>
  <c r="G17" i="241"/>
  <c r="G13" i="241"/>
  <c r="H18" i="66"/>
  <c r="Z33" i="101"/>
  <c r="G17" i="113"/>
  <c r="L17" i="113"/>
  <c r="F14" i="66"/>
  <c r="F22" i="66" s="1"/>
  <c r="A1" i="209"/>
  <c r="H1" i="229"/>
  <c r="M21" i="113" l="1"/>
  <c r="M20" i="113"/>
  <c r="L21" i="259"/>
  <c r="H19" i="241"/>
  <c r="G21" i="246"/>
  <c r="L21" i="258"/>
  <c r="H18" i="241"/>
  <c r="G20" i="246"/>
  <c r="L17" i="258"/>
  <c r="K29" i="258"/>
  <c r="K28" i="259"/>
  <c r="H17" i="259"/>
  <c r="H28" i="259" s="1"/>
  <c r="G28" i="259"/>
  <c r="L17" i="259"/>
  <c r="H17" i="258"/>
  <c r="H29" i="258" s="1"/>
  <c r="G29" i="258"/>
  <c r="J48" i="241"/>
  <c r="G48" i="241" s="1"/>
  <c r="G43" i="241"/>
  <c r="F35" i="66"/>
  <c r="L28" i="113"/>
  <c r="C8" i="83"/>
  <c r="Z34" i="101"/>
  <c r="H19" i="66"/>
  <c r="A1" i="229"/>
  <c r="Z35" i="101" s="1"/>
  <c r="K1" i="208"/>
  <c r="H17" i="113"/>
  <c r="H15" i="241" s="1"/>
  <c r="M17" i="113"/>
  <c r="I18" i="241" l="1"/>
  <c r="J18" i="241" s="1"/>
  <c r="G18" i="241"/>
  <c r="I19" i="241"/>
  <c r="J19" i="241" s="1"/>
  <c r="G19" i="241"/>
  <c r="G29" i="259"/>
  <c r="G30" i="258"/>
  <c r="L28" i="259"/>
  <c r="L29" i="258"/>
  <c r="I15" i="241"/>
  <c r="J15" i="241" s="1"/>
  <c r="G17" i="246"/>
  <c r="G22" i="246" s="1"/>
  <c r="I22" i="246" s="1"/>
  <c r="A1" i="208"/>
  <c r="K1" i="207"/>
  <c r="C8" i="84"/>
  <c r="D8" i="83"/>
  <c r="F8" i="83" s="1"/>
  <c r="F10" i="83" s="1"/>
  <c r="G31" i="258" l="1"/>
  <c r="H30" i="258"/>
  <c r="K31" i="258"/>
  <c r="K30" i="259"/>
  <c r="G30" i="259"/>
  <c r="H29" i="259"/>
  <c r="G15" i="241"/>
  <c r="D8" i="84"/>
  <c r="E8" i="84" s="1"/>
  <c r="G8" i="84" s="1"/>
  <c r="G10" i="84" s="1"/>
  <c r="L30" i="113"/>
  <c r="Z36" i="101"/>
  <c r="H20" i="66"/>
  <c r="K1" i="206"/>
  <c r="A1" i="207"/>
  <c r="L31" i="258" l="1"/>
  <c r="L30" i="259"/>
  <c r="L31" i="113"/>
  <c r="K32" i="258"/>
  <c r="K31" i="259"/>
  <c r="H30" i="259"/>
  <c r="G31" i="259"/>
  <c r="H31" i="259" s="1"/>
  <c r="H31" i="258"/>
  <c r="G32" i="258"/>
  <c r="H23" i="66"/>
  <c r="Z37" i="101"/>
  <c r="A1" i="206"/>
  <c r="K1" i="217"/>
  <c r="L32" i="258" l="1"/>
  <c r="L31" i="259"/>
  <c r="H32" i="258"/>
  <c r="G33" i="258"/>
  <c r="G32" i="259"/>
  <c r="H24" i="66"/>
  <c r="Z38" i="101"/>
  <c r="A1" i="217"/>
  <c r="K1" i="216"/>
  <c r="G34" i="258" l="1"/>
  <c r="H34" i="258" s="1"/>
  <c r="H33" i="258"/>
  <c r="G33" i="259"/>
  <c r="H33" i="259" s="1"/>
  <c r="H32" i="259"/>
  <c r="H25" i="66"/>
  <c r="Z39" i="101"/>
  <c r="K1" i="215"/>
  <c r="A1" i="216"/>
  <c r="G35" i="258" l="1"/>
  <c r="H35" i="258" s="1"/>
  <c r="G34" i="259"/>
  <c r="H26" i="66"/>
  <c r="Z40" i="101"/>
  <c r="A1" i="215"/>
  <c r="K1" i="214"/>
  <c r="H1" i="249" s="1"/>
  <c r="G52" i="258" l="1"/>
  <c r="B9" i="109" s="1"/>
  <c r="A1" i="249"/>
  <c r="K1" i="213"/>
  <c r="H34" i="259"/>
  <c r="G51" i="259"/>
  <c r="B10" i="109" s="1"/>
  <c r="N35" i="258"/>
  <c r="H52" i="258"/>
  <c r="N52" i="258" s="1"/>
  <c r="A1" i="214"/>
  <c r="Z41" i="101"/>
  <c r="H27" i="66"/>
  <c r="H51" i="259" l="1"/>
  <c r="N51" i="259" s="1"/>
  <c r="N34" i="259"/>
  <c r="Z42" i="101"/>
  <c r="H28" i="66"/>
  <c r="A1" i="213"/>
  <c r="M1" i="224"/>
  <c r="A1" i="224" l="1"/>
  <c r="K1" i="218"/>
  <c r="Z43" i="101"/>
  <c r="H31" i="66"/>
  <c r="A16" i="213" l="1"/>
  <c r="Z44" i="101"/>
  <c r="K1" i="212"/>
  <c r="G1" i="83" s="1"/>
  <c r="A1" i="218"/>
  <c r="A1" i="212" l="1"/>
  <c r="Z45" i="101"/>
  <c r="H32" i="66"/>
  <c r="A1" i="92" l="1"/>
  <c r="Z47" i="101" s="1"/>
  <c r="H33" i="66"/>
  <c r="Z46" i="101"/>
  <c r="A1" i="83" l="1"/>
  <c r="M1" i="46"/>
  <c r="Z48" i="101"/>
  <c r="Z49" i="101" l="1"/>
  <c r="A13" i="84"/>
  <c r="G1" i="146"/>
  <c r="A1" i="46"/>
  <c r="A13" i="83" s="1"/>
  <c r="Z50" i="101" l="1"/>
  <c r="H1" i="84"/>
  <c r="A1" i="146"/>
  <c r="Z51" i="101" s="1"/>
  <c r="A1" i="84" l="1"/>
  <c r="G1" i="48"/>
  <c r="I1" i="49" l="1"/>
  <c r="A1" i="49" s="1"/>
  <c r="A1" i="48"/>
  <c r="A19" i="46" l="1"/>
  <c r="A14" i="84"/>
  <c r="G28" i="113" l="1"/>
  <c r="G29" i="113" l="1"/>
  <c r="M28" i="113"/>
  <c r="G29" i="246"/>
  <c r="I29" i="246" s="1"/>
  <c r="H28" i="113"/>
  <c r="G31" i="246" l="1"/>
  <c r="I31" i="246" s="1"/>
  <c r="H26" i="241"/>
  <c r="G30" i="246"/>
  <c r="I30" i="246" s="1"/>
  <c r="H29" i="113"/>
  <c r="G30" i="113"/>
  <c r="H30" i="113" l="1"/>
  <c r="M30" i="113"/>
  <c r="G31" i="113"/>
  <c r="I26" i="241"/>
  <c r="J26" i="241" s="1"/>
  <c r="G32" i="246"/>
  <c r="I32" i="246" s="1"/>
  <c r="H27" i="241"/>
  <c r="M31" i="113" l="1"/>
  <c r="H31" i="113"/>
  <c r="G32" i="113"/>
  <c r="H28" i="241"/>
  <c r="G33" i="246"/>
  <c r="I33" i="246" s="1"/>
  <c r="I27" i="241"/>
  <c r="J27" i="241" s="1"/>
  <c r="G26" i="241"/>
  <c r="G27" i="241" l="1"/>
  <c r="I28" i="241"/>
  <c r="J28" i="241" s="1"/>
  <c r="H32" i="113"/>
  <c r="G33" i="113"/>
  <c r="H33" i="113" s="1"/>
  <c r="G34" i="246"/>
  <c r="I34" i="246" s="1"/>
  <c r="H29" i="241"/>
  <c r="G34" i="113" l="1"/>
  <c r="H34" i="113" s="1"/>
  <c r="H51" i="113" s="1"/>
  <c r="I29" i="241"/>
  <c r="J29" i="241" s="1"/>
  <c r="H30" i="241"/>
  <c r="G35" i="246"/>
  <c r="I35" i="246" s="1"/>
  <c r="G28" i="241"/>
  <c r="G36" i="246"/>
  <c r="I36" i="246" s="1"/>
  <c r="H31" i="241"/>
  <c r="G51" i="113" l="1"/>
  <c r="B8" i="109" s="1"/>
  <c r="D8" i="109"/>
  <c r="H32" i="241"/>
  <c r="O34" i="113"/>
  <c r="G37" i="246"/>
  <c r="I37" i="246" s="1"/>
  <c r="G29" i="241"/>
  <c r="I30" i="241"/>
  <c r="J30" i="241" s="1"/>
  <c r="I31" i="241"/>
  <c r="J31" i="241" l="1"/>
  <c r="G31" i="241" s="1"/>
  <c r="G30" i="241"/>
  <c r="H49" i="241"/>
  <c r="D9" i="239" s="1"/>
  <c r="L14" i="240" s="1"/>
  <c r="O51" i="113"/>
  <c r="G54" i="246"/>
  <c r="I54" i="246" s="1"/>
  <c r="I32" i="241"/>
  <c r="I49" i="241" s="1"/>
  <c r="D10" i="239" s="1"/>
  <c r="L17" i="240" l="1"/>
  <c r="Q17" i="240" s="1"/>
  <c r="D9" i="109"/>
  <c r="J32" i="241"/>
  <c r="Q14" i="240"/>
  <c r="G32" i="241" l="1"/>
  <c r="J49" i="241"/>
  <c r="M49" i="241"/>
  <c r="G49" i="241" l="1"/>
  <c r="D11" i="239"/>
  <c r="D10" i="109" l="1"/>
  <c r="L20" i="240"/>
  <c r="Q20" i="240" s="1"/>
  <c r="D13" i="239"/>
  <c r="L11" i="240" s="1"/>
  <c r="Q11" i="240" s="1"/>
  <c r="D12" i="109" l="1"/>
  <c r="L10" i="249"/>
</calcChain>
</file>

<file path=xl/comments1.xml><?xml version="1.0" encoding="utf-8"?>
<comments xmlns="http://schemas.openxmlformats.org/spreadsheetml/2006/main">
  <authors>
    <author>helpbiz</author>
    <author>sedi02</author>
    <author>jung</author>
    <author>tc={60B7BFE3-11C8-4A66-AAED-5F6048CBC26A}</author>
    <author>tc={793B3398-D5DF-416E-96F1-7195B1945423}</author>
    <author>tc={896441CB-1F61-46AB-A777-3789D96BA889}</author>
  </authors>
  <commentList>
    <comment ref="B1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신정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0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설날, 구정연휴
</t>
        </r>
      </text>
    </comment>
    <comment ref="D10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삼일절
</t>
        </r>
      </text>
    </comment>
    <comment ref="F10" authorId="3" shapeId="0">
      <text>
        <r>
          <rPr>
            <sz val="11"/>
            <rFont val="돋움"/>
            <family val="3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노동절, 석가탄신일
</t>
        </r>
      </text>
    </comment>
    <comment ref="G10" authorId="1" shapeId="0">
      <text>
        <r>
          <rPr>
            <b/>
            <sz val="9"/>
            <color indexed="81"/>
            <rFont val="돋움"/>
            <family val="3"/>
            <charset val="129"/>
          </rPr>
          <t>현충일</t>
        </r>
      </text>
    </comment>
    <comment ref="I10" authorId="4" shapeId="0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광복절</t>
        </r>
      </text>
    </comment>
    <comment ref="J10" authorId="1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추석연휴
</t>
        </r>
      </text>
    </comment>
    <comment ref="K10" authorId="2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개천절, 한글날
</t>
        </r>
      </text>
    </comment>
    <comment ref="L10" authorId="1" shapeId="0">
      <text>
        <r>
          <rPr>
            <b/>
            <sz val="9"/>
            <color indexed="81"/>
            <rFont val="돋움"/>
            <family val="3"/>
            <charset val="129"/>
          </rPr>
          <t>개천절</t>
        </r>
        <r>
          <rPr>
            <b/>
            <sz val="9"/>
            <color indexed="81"/>
            <rFont val="Tahoma"/>
            <family val="2"/>
          </rPr>
          <t>1+</t>
        </r>
        <r>
          <rPr>
            <b/>
            <sz val="9"/>
            <color indexed="81"/>
            <rFont val="돋움"/>
            <family val="3"/>
            <charset val="129"/>
          </rPr>
          <t>한글날</t>
        </r>
        <r>
          <rPr>
            <b/>
            <sz val="9"/>
            <color indexed="81"/>
            <rFont val="Tahoma"/>
            <family val="2"/>
          </rPr>
          <t xml:space="preserve">1
</t>
        </r>
      </text>
    </comment>
    <comment ref="M10" authorId="5" shapeId="0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성탄절</t>
        </r>
      </text>
    </comment>
  </commentList>
</comments>
</file>

<file path=xl/comments2.xml><?xml version="1.0" encoding="utf-8"?>
<comments xmlns="http://schemas.openxmlformats.org/spreadsheetml/2006/main">
  <authors>
    <author>sedi02</author>
  </authors>
  <commentList>
    <comment ref="B1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설 3, 대체휴일 1
신정 1
</t>
        </r>
      </text>
    </comment>
    <comment ref="F10" authorId="0" shapeId="0">
      <text>
        <r>
          <rPr>
            <b/>
            <sz val="9"/>
            <color indexed="81"/>
            <rFont val="돋움"/>
            <family val="3"/>
            <charset val="129"/>
          </rPr>
          <t>석가탄신일 1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어린이날 1
</t>
        </r>
      </text>
    </comment>
    <comment ref="G10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현충일 1
</t>
        </r>
      </text>
    </comment>
  </commentList>
</comments>
</file>

<file path=xl/comments3.xml><?xml version="1.0" encoding="utf-8"?>
<comments xmlns="http://schemas.openxmlformats.org/spreadsheetml/2006/main">
  <authors>
    <author>tc={F1644EC6-DBF6-43E1-B737-0768C026D075}</author>
  </authors>
  <commentList>
    <comment ref="N21" authorId="0" shapeId="0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기본요금 사용량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<sst xmlns="http://schemas.openxmlformats.org/spreadsheetml/2006/main" count="3811" uniqueCount="1408">
  <si>
    <t>기업경영분석자료</t>
    <phoneticPr fontId="3" type="noConversion"/>
  </si>
  <si>
    <t>* 손익계산서</t>
    <phoneticPr fontId="3" type="noConversion"/>
  </si>
  <si>
    <t>단위 : 백만원</t>
    <phoneticPr fontId="3" type="noConversion"/>
  </si>
  <si>
    <t>이윤비율표</t>
    <phoneticPr fontId="14" type="noConversion"/>
  </si>
  <si>
    <t>구          분</t>
    <phoneticPr fontId="3" type="noConversion"/>
  </si>
  <si>
    <t>조사적용
비율(%)</t>
    <phoneticPr fontId="3" type="noConversion"/>
  </si>
  <si>
    <t>비       고</t>
    <phoneticPr fontId="12" type="noConversion"/>
  </si>
  <si>
    <t>시설공사</t>
    <phoneticPr fontId="12" type="noConversion"/>
  </si>
  <si>
    <t>제조,구매</t>
    <phoneticPr fontId="3" type="noConversion"/>
  </si>
  <si>
    <t>용역</t>
    <phoneticPr fontId="3" type="noConversion"/>
  </si>
  <si>
    <t>수입물품의구입</t>
    <phoneticPr fontId="3" type="noConversion"/>
  </si>
  <si>
    <t xml:space="preserve">    </t>
    <phoneticPr fontId="3" type="noConversion"/>
  </si>
  <si>
    <t>이윤산출표</t>
    <phoneticPr fontId="14" type="noConversion"/>
  </si>
  <si>
    <t>적   용   대   상   액</t>
    <phoneticPr fontId="3" type="noConversion"/>
  </si>
  <si>
    <t>비율(%)</t>
    <phoneticPr fontId="25" type="noConversion"/>
  </si>
  <si>
    <t>금  액</t>
    <phoneticPr fontId="3" type="noConversion"/>
  </si>
  <si>
    <t>인건비</t>
    <phoneticPr fontId="3" type="noConversion"/>
  </si>
  <si>
    <t>일반관리비</t>
    <phoneticPr fontId="3" type="noConversion"/>
  </si>
  <si>
    <t>주 4)</t>
    <phoneticPr fontId="3" type="noConversion"/>
  </si>
  <si>
    <t>일반관리비율산출표</t>
    <phoneticPr fontId="3" type="noConversion"/>
  </si>
  <si>
    <t>비                  목</t>
    <phoneticPr fontId="2" type="noConversion"/>
  </si>
  <si>
    <t>기업경영분석
자료(백만원)</t>
    <phoneticPr fontId="2" type="noConversion"/>
  </si>
  <si>
    <t>비    고</t>
    <phoneticPr fontId="2" type="noConversion"/>
  </si>
  <si>
    <t>1)</t>
    <phoneticPr fontId="3" type="noConversion"/>
  </si>
  <si>
    <t>전년도매출원가</t>
    <phoneticPr fontId="3" type="noConversion"/>
  </si>
  <si>
    <t xml:space="preserve"> 주 1)</t>
    <phoneticPr fontId="3" type="noConversion"/>
  </si>
  <si>
    <t>2)</t>
    <phoneticPr fontId="3" type="noConversion"/>
  </si>
  <si>
    <t>동기간의 일반관리비</t>
    <phoneticPr fontId="3" type="noConversion"/>
  </si>
  <si>
    <t>판매비와일반관리비</t>
    <phoneticPr fontId="3" type="noConversion"/>
  </si>
  <si>
    <t>불인금액</t>
    <phoneticPr fontId="3" type="noConversion"/>
  </si>
  <si>
    <t>① 접대비</t>
    <phoneticPr fontId="3" type="noConversion"/>
  </si>
  <si>
    <t>② 광고선전비</t>
    <phoneticPr fontId="3" type="noConversion"/>
  </si>
  <si>
    <t>④ 대손상각비</t>
    <phoneticPr fontId="3" type="noConversion"/>
  </si>
  <si>
    <t>⑤ 무형자산상각비</t>
    <phoneticPr fontId="3" type="noConversion"/>
  </si>
  <si>
    <t>⑥ 기타판매비와관리비</t>
    <phoneticPr fontId="3" type="noConversion"/>
  </si>
  <si>
    <t>3)</t>
    <phoneticPr fontId="3" type="noConversion"/>
  </si>
  <si>
    <t>일반관리비율(%)</t>
    <phoneticPr fontId="3" type="noConversion"/>
  </si>
  <si>
    <t xml:space="preserve"> 주 2)</t>
    <phoneticPr fontId="3" type="noConversion"/>
  </si>
  <si>
    <t xml:space="preserve">   2) 일반관리비율 = (동기간의 일반관리비 ÷ 일정기간의 매출원가) × 100</t>
    <phoneticPr fontId="3" type="noConversion"/>
  </si>
  <si>
    <t>2. 일반관리비율 적용비율</t>
    <phoneticPr fontId="3" type="noConversion"/>
  </si>
  <si>
    <t>일반관리비산출표</t>
    <phoneticPr fontId="14" type="noConversion"/>
  </si>
  <si>
    <t>산         정         기         준</t>
    <phoneticPr fontId="3" type="noConversion"/>
  </si>
  <si>
    <t>보
험
료</t>
    <phoneticPr fontId="3" type="noConversion"/>
  </si>
  <si>
    <t>노인장기요양보험료</t>
    <phoneticPr fontId="3" type="noConversion"/>
  </si>
  <si>
    <t>적 용 대 상 액  주1)</t>
    <phoneticPr fontId="5" type="noConversion"/>
  </si>
  <si>
    <t>기본급</t>
    <phoneticPr fontId="4" type="noConversion"/>
  </si>
  <si>
    <t>제수당</t>
    <phoneticPr fontId="5" type="noConversion"/>
  </si>
  <si>
    <t>상여금</t>
    <phoneticPr fontId="5" type="noConversion"/>
  </si>
  <si>
    <t>주 2)</t>
    <phoneticPr fontId="10" type="noConversion"/>
  </si>
  <si>
    <t>단위 : 원/월</t>
    <phoneticPr fontId="10" type="noConversion"/>
  </si>
  <si>
    <t>비목</t>
    <phoneticPr fontId="3" type="noConversion"/>
  </si>
  <si>
    <t>수 량</t>
    <phoneticPr fontId="3" type="noConversion"/>
  </si>
  <si>
    <t>금   액</t>
    <phoneticPr fontId="3" type="noConversion"/>
  </si>
  <si>
    <t>비          고</t>
    <phoneticPr fontId="3" type="noConversion"/>
  </si>
  <si>
    <t>단위(1인)당 피복비산출표</t>
    <phoneticPr fontId="5" type="noConversion"/>
  </si>
  <si>
    <t>단위</t>
    <phoneticPr fontId="5" type="noConversion"/>
  </si>
  <si>
    <t>수 량</t>
    <phoneticPr fontId="5" type="noConversion"/>
  </si>
  <si>
    <t>단 가</t>
    <phoneticPr fontId="5" type="noConversion"/>
  </si>
  <si>
    <t>금   액</t>
    <phoneticPr fontId="5" type="noConversion"/>
  </si>
  <si>
    <t>비      고</t>
    <phoneticPr fontId="5" type="noConversion"/>
  </si>
  <si>
    <t>주 1)</t>
    <phoneticPr fontId="4" type="noConversion"/>
  </si>
  <si>
    <t>주 2)</t>
    <phoneticPr fontId="4" type="noConversion"/>
  </si>
  <si>
    <t>착</t>
    <phoneticPr fontId="4" type="noConversion"/>
  </si>
  <si>
    <t>직 종 명</t>
    <phoneticPr fontId="3" type="noConversion"/>
  </si>
  <si>
    <t>작업
인원</t>
    <phoneticPr fontId="10" type="noConversion"/>
  </si>
  <si>
    <t>금  액</t>
    <phoneticPr fontId="10" type="noConversion"/>
  </si>
  <si>
    <t>단위
(1인)당
피복비</t>
    <phoneticPr fontId="10" type="noConversion"/>
  </si>
  <si>
    <t>단위
(1인)당
식대</t>
    <phoneticPr fontId="10" type="noConversion"/>
  </si>
  <si>
    <t>비       목</t>
    <phoneticPr fontId="10" type="noConversion"/>
  </si>
  <si>
    <t>금   액</t>
    <phoneticPr fontId="4" type="noConversion"/>
  </si>
  <si>
    <t>비   고</t>
    <phoneticPr fontId="5" type="noConversion"/>
  </si>
  <si>
    <t>고용보험료</t>
    <phoneticPr fontId="10" type="noConversion"/>
  </si>
  <si>
    <t>노인장기요양보험료</t>
    <phoneticPr fontId="10" type="noConversion"/>
  </si>
  <si>
    <t>소계</t>
    <phoneticPr fontId="10" type="noConversion"/>
  </si>
  <si>
    <t>계</t>
    <phoneticPr fontId="10" type="noConversion"/>
  </si>
  <si>
    <t>경비집계표</t>
    <phoneticPr fontId="3" type="noConversion"/>
  </si>
  <si>
    <t>비          목</t>
    <phoneticPr fontId="10" type="noConversion"/>
  </si>
  <si>
    <t>비     고</t>
    <phoneticPr fontId="10" type="noConversion"/>
  </si>
  <si>
    <t>합          계</t>
    <phoneticPr fontId="10" type="noConversion"/>
  </si>
  <si>
    <t>제수당</t>
    <phoneticPr fontId="6" type="noConversion"/>
  </si>
  <si>
    <t>상여금</t>
    <phoneticPr fontId="6" type="noConversion"/>
  </si>
  <si>
    <t>합      계</t>
    <phoneticPr fontId="3" type="noConversion"/>
  </si>
  <si>
    <t>단위(1인)당
인건비</t>
    <phoneticPr fontId="3" type="noConversion"/>
  </si>
  <si>
    <t>작업
인원</t>
    <phoneticPr fontId="3" type="noConversion"/>
  </si>
  <si>
    <t>금    액</t>
    <phoneticPr fontId="3" type="noConversion"/>
  </si>
  <si>
    <t xml:space="preserve"> 구      분</t>
    <phoneticPr fontId="3" type="noConversion"/>
  </si>
  <si>
    <t>비        고</t>
    <phoneticPr fontId="26" type="noConversion"/>
  </si>
  <si>
    <t>인
건
비</t>
    <phoneticPr fontId="6" type="noConversion"/>
  </si>
  <si>
    <t>기       본       급</t>
    <phoneticPr fontId="6" type="noConversion"/>
  </si>
  <si>
    <t>계</t>
    <phoneticPr fontId="3" type="noConversion"/>
  </si>
  <si>
    <t>보
험
료</t>
    <phoneticPr fontId="3" type="noConversion"/>
  </si>
  <si>
    <t>국민연금</t>
    <phoneticPr fontId="3" type="noConversion"/>
  </si>
  <si>
    <t>고용보험료</t>
    <phoneticPr fontId="3" type="noConversion"/>
  </si>
  <si>
    <t>국민건강보험료</t>
    <phoneticPr fontId="3" type="noConversion"/>
  </si>
  <si>
    <t>임금채권보장보험료</t>
    <phoneticPr fontId="3" type="noConversion"/>
  </si>
  <si>
    <t>단위 : 원</t>
    <phoneticPr fontId="3" type="noConversion"/>
  </si>
  <si>
    <t>구    분</t>
    <phoneticPr fontId="3" type="noConversion"/>
  </si>
  <si>
    <t>비 고</t>
    <phoneticPr fontId="3" type="noConversion"/>
  </si>
  <si>
    <t>주 1)</t>
    <phoneticPr fontId="3" type="noConversion"/>
  </si>
  <si>
    <t>합  계</t>
    <phoneticPr fontId="10" type="noConversion"/>
  </si>
  <si>
    <t>적 용 직 종</t>
    <phoneticPr fontId="24" type="noConversion"/>
  </si>
  <si>
    <t>계</t>
    <phoneticPr fontId="24" type="noConversion"/>
  </si>
  <si>
    <t>구  분</t>
    <phoneticPr fontId="3" type="noConversion"/>
  </si>
  <si>
    <t>인건비산정기준 및 관련법규</t>
    <phoneticPr fontId="24" type="noConversion"/>
  </si>
  <si>
    <t>산     정     기     준</t>
    <phoneticPr fontId="3" type="noConversion"/>
  </si>
  <si>
    <t>비  고</t>
    <phoneticPr fontId="3" type="noConversion"/>
  </si>
  <si>
    <t>기    본    급</t>
    <phoneticPr fontId="3" type="noConversion"/>
  </si>
  <si>
    <t>제수당</t>
    <phoneticPr fontId="3" type="noConversion"/>
  </si>
  <si>
    <t>상    여    금</t>
    <phoneticPr fontId="6" type="noConversion"/>
  </si>
  <si>
    <t>퇴직급여충당금</t>
    <phoneticPr fontId="6" type="noConversion"/>
  </si>
  <si>
    <t>월(M/M)당기본급산출표</t>
    <phoneticPr fontId="6" type="noConversion"/>
  </si>
  <si>
    <t>직종번호</t>
    <phoneticPr fontId="3" type="noConversion"/>
  </si>
  <si>
    <t>직 종 명</t>
    <phoneticPr fontId="2" type="noConversion"/>
  </si>
  <si>
    <t>구          분</t>
    <phoneticPr fontId="5" type="noConversion"/>
  </si>
  <si>
    <t>년차수당</t>
    <phoneticPr fontId="3" type="noConversion"/>
  </si>
  <si>
    <t>소계</t>
    <phoneticPr fontId="3" type="noConversion"/>
  </si>
  <si>
    <t>계</t>
    <phoneticPr fontId="5" type="noConversion"/>
  </si>
  <si>
    <t>인건비집계표</t>
    <phoneticPr fontId="3" type="noConversion"/>
  </si>
  <si>
    <t>직  종  명</t>
    <phoneticPr fontId="3" type="noConversion"/>
  </si>
  <si>
    <t>기본급</t>
    <phoneticPr fontId="6" type="noConversion"/>
  </si>
  <si>
    <t>피복비</t>
    <phoneticPr fontId="10" type="noConversion"/>
  </si>
  <si>
    <t>계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</si>
  <si>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</si>
  <si>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</si>
  <si>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</si>
  <si>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</si>
  <si>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</si>
  <si>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</si>
  <si>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</si>
  <si>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</si>
  <si>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</si>
  <si>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</si>
  <si>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계</t>
    <phoneticPr fontId="3" type="noConversion"/>
  </si>
  <si>
    <t>직책별 단위(1인)당 인건비산출표</t>
    <phoneticPr fontId="5" type="noConversion"/>
  </si>
  <si>
    <t>투입
인원</t>
    <phoneticPr fontId="24" type="noConversion"/>
  </si>
  <si>
    <t>고용보험료</t>
  </si>
  <si>
    <t>주 1)</t>
    <phoneticPr fontId="3" type="noConversion"/>
  </si>
  <si>
    <t>주 2)</t>
  </si>
  <si>
    <t>주 3)</t>
  </si>
  <si>
    <t>주 4)</t>
  </si>
  <si>
    <t>주 1)</t>
  </si>
  <si>
    <t>관  련  법  규</t>
    <phoneticPr fontId="6" type="noConversion"/>
  </si>
  <si>
    <t>-</t>
  </si>
  <si>
    <t>CODE NO.</t>
  </si>
  <si>
    <t>"</t>
  </si>
  <si>
    <t>주 2)</t>
    <phoneticPr fontId="3" type="noConversion"/>
  </si>
  <si>
    <t>주 3)</t>
    <phoneticPr fontId="3" type="noConversion"/>
  </si>
  <si>
    <t>금     액</t>
  </si>
  <si>
    <t>산재보험료</t>
  </si>
  <si>
    <t>임금채권보장보험료</t>
  </si>
  <si>
    <t>국민연금</t>
  </si>
  <si>
    <t>국민건강보험료</t>
  </si>
  <si>
    <t>비 고</t>
    <phoneticPr fontId="3" type="noConversion"/>
  </si>
  <si>
    <t>년차수당</t>
  </si>
  <si>
    <t>비   고</t>
    <phoneticPr fontId="3" type="noConversion"/>
  </si>
  <si>
    <t>금     액</t>
    <phoneticPr fontId="6" type="noConversion"/>
  </si>
  <si>
    <t>구    분</t>
    <phoneticPr fontId="3" type="noConversion"/>
  </si>
  <si>
    <t>2. 제조업</t>
  </si>
  <si>
    <t>단위</t>
  </si>
  <si>
    <t>단  가</t>
  </si>
  <si>
    <t>식</t>
  </si>
  <si>
    <t>매출총손익</t>
  </si>
  <si>
    <t>투자.유형자산처분이익</t>
  </si>
  <si>
    <t>비       목</t>
    <phoneticPr fontId="3" type="noConversion"/>
  </si>
  <si>
    <t>관  련  법  규</t>
    <phoneticPr fontId="3" type="noConversion"/>
  </si>
  <si>
    <t>적  용  방  법</t>
    <phoneticPr fontId="3" type="noConversion"/>
  </si>
  <si>
    <t>적용직종 및 근무형태</t>
    <phoneticPr fontId="24" type="noConversion"/>
  </si>
  <si>
    <t>직 책 명</t>
    <phoneticPr fontId="3" type="noConversion"/>
  </si>
  <si>
    <t>단위 : 원/월</t>
    <phoneticPr fontId="3" type="noConversion"/>
  </si>
  <si>
    <t>내역</t>
  </si>
  <si>
    <t>구성비(%)</t>
  </si>
  <si>
    <t>매출액</t>
  </si>
  <si>
    <t>매출원가</t>
  </si>
  <si>
    <t>판매비와일반관리비</t>
  </si>
  <si>
    <t>급여</t>
  </si>
  <si>
    <t>퇴직급여</t>
  </si>
  <si>
    <t>복리후생비</t>
  </si>
  <si>
    <t>세금과공과</t>
  </si>
  <si>
    <t>임차료</t>
  </si>
  <si>
    <t>감가상각비</t>
  </si>
  <si>
    <t>접대비</t>
  </si>
  <si>
    <t>광고선전비</t>
  </si>
  <si>
    <t>경상개발비.연구비</t>
  </si>
  <si>
    <t>보험료</t>
  </si>
  <si>
    <t>대손상각비</t>
  </si>
  <si>
    <t>무형자산상각비</t>
  </si>
  <si>
    <t>기타판매비와관리비</t>
  </si>
  <si>
    <t>영업손익</t>
  </si>
  <si>
    <t>영업외수익</t>
  </si>
  <si>
    <t>이자수익</t>
  </si>
  <si>
    <t>배당금수익</t>
  </si>
  <si>
    <t>외환차익</t>
  </si>
  <si>
    <t>외화환산이익</t>
  </si>
  <si>
    <t>지분법평가이익</t>
  </si>
  <si>
    <t>기타영업외수익</t>
  </si>
  <si>
    <t>영업외비용</t>
  </si>
  <si>
    <t>이자비용</t>
  </si>
  <si>
    <t>외환차손</t>
  </si>
  <si>
    <t>외화환산손실</t>
  </si>
  <si>
    <t>투자.유형자산처분손실</t>
  </si>
  <si>
    <t>지분법평가손실</t>
  </si>
  <si>
    <t>기타영업외비용</t>
  </si>
  <si>
    <t>법인세비용차감전순손익</t>
  </si>
  <si>
    <t>법인세비용</t>
  </si>
  <si>
    <t>(퇴직금제도) 퇴직금제도를 설정하고자 하는 사용자는 계속근로
 기간 1년에 대하여 30일분 이상의 평균임금을 퇴직금으로 퇴직
 하는 근로자에게 지급할 수 있는 제도를 설정하여야 한다.</t>
    <phoneticPr fontId="3" type="noConversion"/>
  </si>
  <si>
    <t>구     분</t>
    <phoneticPr fontId="3" type="noConversion"/>
  </si>
  <si>
    <t>상여</t>
    <phoneticPr fontId="3" type="noConversion"/>
  </si>
  <si>
    <t>1. 광업</t>
  </si>
  <si>
    <t>8. 농 업</t>
  </si>
  <si>
    <t>근로자퇴직급여 보장법 제8조</t>
  </si>
  <si>
    <t>노인장기요양보험료</t>
  </si>
  <si>
    <t>단위(1인)당 식대산출표</t>
  </si>
  <si>
    <t>월근로시간</t>
    <phoneticPr fontId="3" type="noConversion"/>
  </si>
  <si>
    <t>주 1)</t>
    <phoneticPr fontId="10" type="noConversion"/>
  </si>
  <si>
    <t>주 5)</t>
  </si>
  <si>
    <t>식대</t>
    <phoneticPr fontId="10" type="noConversion"/>
  </si>
  <si>
    <t>구      분</t>
    <phoneticPr fontId="3" type="noConversion"/>
  </si>
  <si>
    <t>일반관리비</t>
    <phoneticPr fontId="3" type="noConversion"/>
  </si>
  <si>
    <t>이윤</t>
    <phoneticPr fontId="3" type="noConversion"/>
  </si>
  <si>
    <t>단순노무종사원</t>
  </si>
  <si>
    <t>요율</t>
  </si>
  <si>
    <t>9. 기타의 사업</t>
  </si>
  <si>
    <t>기타의 각종사업</t>
  </si>
  <si>
    <t>일반관리비율표</t>
    <phoneticPr fontId="14" type="noConversion"/>
  </si>
  <si>
    <t>구             분</t>
    <phoneticPr fontId="3" type="noConversion"/>
  </si>
  <si>
    <t>계약예규
기준비율(%)</t>
    <phoneticPr fontId="3" type="noConversion"/>
  </si>
  <si>
    <t>본조사적용
비율(%)</t>
    <phoneticPr fontId="3" type="noConversion"/>
  </si>
  <si>
    <t>비   고</t>
    <phoneticPr fontId="12" type="noConversion"/>
  </si>
  <si>
    <t>기타 물품의 제조·구매</t>
    <phoneticPr fontId="3" type="noConversion"/>
  </si>
  <si>
    <t>폐기물 처리·재활용 용역</t>
    <phoneticPr fontId="3" type="noConversion"/>
  </si>
  <si>
    <t>행사관리 및 그 밖의 사업지원 용역</t>
    <phoneticPr fontId="3" type="noConversion"/>
  </si>
  <si>
    <t>여행, 숙박, 운송 및 보험 용역</t>
    <phoneticPr fontId="3" type="noConversion"/>
  </si>
  <si>
    <t>장비 유지·보수 용역</t>
    <phoneticPr fontId="3" type="noConversion"/>
  </si>
  <si>
    <t>기타 용역</t>
    <phoneticPr fontId="3" type="noConversion"/>
  </si>
  <si>
    <t>비      고</t>
    <phoneticPr fontId="3" type="noConversion"/>
  </si>
  <si>
    <t>불인금액</t>
  </si>
  <si>
    <t>당기순이익</t>
  </si>
  <si>
    <t>국민연금법 제88조 3항</t>
    <phoneticPr fontId="3" type="noConversion"/>
  </si>
  <si>
    <t xml:space="preserve">사업장가입자의 연금보험료 중 기여금은 사업장가입자 본인이, 부담금은 사용자가 부담하되, 그 금액은 
 각각 기준 소득월액의 1천분의 45에 해당하는 금액으로 한다. </t>
    <phoneticPr fontId="3" type="noConversion"/>
  </si>
  <si>
    <t>고용보험 및 산업재해보상보험의 
 보험료징수등에 관한 법률 
 제14조 1항, 시행령 제12조</t>
    <phoneticPr fontId="3" type="noConversion"/>
  </si>
  <si>
    <t>비    고</t>
    <phoneticPr fontId="3" type="noConversion"/>
  </si>
  <si>
    <t>국민건강보험법 제73조,
 시행령 제44조 1항</t>
    <phoneticPr fontId="3" type="noConversion"/>
  </si>
  <si>
    <t>시설물 관리·경비 및 청소 용역</t>
    <phoneticPr fontId="3" type="noConversion"/>
  </si>
  <si>
    <t>구   분</t>
    <phoneticPr fontId="3" type="noConversion"/>
  </si>
  <si>
    <t>근로기준법 제56조</t>
  </si>
  <si>
    <t>고용보험및산업재해보상보험의
 보험료징수 등에관한법률 
 제14조 3항,4항</t>
    <phoneticPr fontId="3" type="noConversion"/>
  </si>
  <si>
    <t>비율</t>
    <phoneticPr fontId="3" type="noConversion"/>
  </si>
  <si>
    <t>주 6)</t>
  </si>
  <si>
    <t>용역원가집계표</t>
    <phoneticPr fontId="6" type="noConversion"/>
  </si>
  <si>
    <t>근로기준법 제60조</t>
  </si>
  <si>
    <t>근로기준법 제60조</t>
    <phoneticPr fontId="3" type="noConversion"/>
  </si>
  <si>
    <t>연장근로수당</t>
    <phoneticPr fontId="3" type="noConversion"/>
  </si>
  <si>
    <t>근로기준법 제56조</t>
    <phoneticPr fontId="3" type="noConversion"/>
  </si>
  <si>
    <t>근로자퇴직급여 보장법 제8조</t>
    <phoneticPr fontId="3" type="noConversion"/>
  </si>
  <si>
    <t>주 7)</t>
  </si>
  <si>
    <t>제
수
당</t>
    <phoneticPr fontId="6" type="noConversion"/>
  </si>
  <si>
    <t>연장/야간/휴일
근로수당</t>
    <phoneticPr fontId="3" type="noConversion"/>
  </si>
  <si>
    <t>단위(1인)당 보험료산출표</t>
    <phoneticPr fontId="10" type="noConversion"/>
  </si>
  <si>
    <t>보험료집계표</t>
    <phoneticPr fontId="10" type="noConversion"/>
  </si>
  <si>
    <t>단위 : 원/월</t>
    <phoneticPr fontId="10" type="noConversion"/>
  </si>
  <si>
    <t>구  분</t>
    <phoneticPr fontId="3" type="noConversion"/>
  </si>
  <si>
    <t>직 책 명</t>
    <phoneticPr fontId="3" type="noConversion"/>
  </si>
  <si>
    <t>계</t>
    <phoneticPr fontId="3" type="noConversion"/>
  </si>
  <si>
    <t>단위(1인)당
보험료</t>
    <phoneticPr fontId="10" type="noConversion"/>
  </si>
  <si>
    <t>투입
인원</t>
    <phoneticPr fontId="10" type="noConversion"/>
  </si>
  <si>
    <t>금  액</t>
    <phoneticPr fontId="10" type="noConversion"/>
  </si>
  <si>
    <t>주 1)</t>
    <phoneticPr fontId="10" type="noConversion"/>
  </si>
  <si>
    <t>주 8)</t>
  </si>
  <si>
    <t>복리후생비집계표</t>
    <phoneticPr fontId="10" type="noConversion"/>
  </si>
  <si>
    <t>월(M/M)당
기본급</t>
    <phoneticPr fontId="6" type="noConversion"/>
  </si>
  <si>
    <t>연장근로수당</t>
  </si>
  <si>
    <t>2월</t>
  </si>
  <si>
    <t>순용역원가+일.관+이윤</t>
    <phoneticPr fontId="3" type="noConversion"/>
  </si>
  <si>
    <t>용역원가+부가가치세</t>
    <phoneticPr fontId="3" type="noConversion"/>
  </si>
  <si>
    <t xml:space="preserve">석면피해구제법 제31조 </t>
    <phoneticPr fontId="3" type="noConversion"/>
  </si>
  <si>
    <t>제수당</t>
    <phoneticPr fontId="6" type="noConversion"/>
  </si>
  <si>
    <t>휴일근로수당</t>
    <phoneticPr fontId="3" type="noConversion"/>
  </si>
  <si>
    <t>소계</t>
    <phoneticPr fontId="3" type="noConversion"/>
  </si>
  <si>
    <t>단위(1인)당
제경비</t>
  </si>
  <si>
    <t>년차수당</t>
    <phoneticPr fontId="6" type="noConversion"/>
  </si>
  <si>
    <t>연장근로수당</t>
    <phoneticPr fontId="6" type="noConversion"/>
  </si>
  <si>
    <t>휴일근로수당</t>
    <phoneticPr fontId="6" type="noConversion"/>
  </si>
  <si>
    <t>[ 표 : 1 ]</t>
  </si>
  <si>
    <t>[ 표 : 2 ]</t>
  </si>
  <si>
    <t>[ 표 : 3 ]</t>
  </si>
  <si>
    <t>[ 표 : 4 ]</t>
  </si>
  <si>
    <t>[ 표 : 5 ]</t>
  </si>
  <si>
    <t>[ 표 : 6 ]</t>
  </si>
  <si>
    <t>[ 표 : 7 ]</t>
  </si>
  <si>
    <t>[ 표 : 8 ]</t>
  </si>
  <si>
    <t>[ 표 : 9 ]</t>
  </si>
  <si>
    <t>[ 표 : 10 ]</t>
  </si>
  <si>
    <t>예규기준
비율(%)</t>
    <phoneticPr fontId="3" type="noConversion"/>
  </si>
  <si>
    <t xml:space="preserve">    (지방자치단체를 당사자로 하는 계약에 관한 법률 시행규칙 제8조)</t>
    <phoneticPr fontId="3" type="noConversion"/>
  </si>
  <si>
    <t>예규기준</t>
    <phoneticPr fontId="3" type="noConversion"/>
  </si>
  <si>
    <t>1. 예규기준과 기업경영분석자료 비교</t>
    <phoneticPr fontId="3" type="noConversion"/>
  </si>
  <si>
    <t>석탄광업 및 채석업</t>
  </si>
  <si>
    <t>4. 건 설 업</t>
  </si>
  <si>
    <t>6. 임 업</t>
  </si>
  <si>
    <t>7. 어 업</t>
  </si>
  <si>
    <t>국가 및 지방자치단체의 사업</t>
  </si>
  <si>
    <t>0. 금융 및 보험업</t>
  </si>
  <si>
    <t>인적보험료</t>
    <phoneticPr fontId="10" type="noConversion"/>
  </si>
  <si>
    <t>2017년 최저임금</t>
    <phoneticPr fontId="3" type="noConversion"/>
  </si>
  <si>
    <t>월기본급</t>
    <phoneticPr fontId="3" type="noConversion"/>
  </si>
  <si>
    <t>(기본급+제수당+상여금)÷12</t>
    <phoneticPr fontId="3" type="noConversion"/>
  </si>
  <si>
    <t>단위 : 원/월</t>
    <phoneticPr fontId="6" type="noConversion"/>
  </si>
  <si>
    <t>구분</t>
    <phoneticPr fontId="3" type="noConversion"/>
  </si>
  <si>
    <t>계(연간)</t>
    <phoneticPr fontId="3" type="noConversion"/>
  </si>
  <si>
    <t>계(연간)÷12개월</t>
    <phoneticPr fontId="3" type="noConversion"/>
  </si>
  <si>
    <t>계(월간)</t>
    <phoneticPr fontId="3" type="noConversion"/>
  </si>
  <si>
    <t>위탁기간
(월)</t>
    <phoneticPr fontId="3" type="noConversion"/>
  </si>
  <si>
    <t>월간용역비</t>
    <phoneticPr fontId="3" type="noConversion"/>
  </si>
  <si>
    <t>연간용역비</t>
    <phoneticPr fontId="3" type="noConversion"/>
  </si>
  <si>
    <t>이  윤</t>
    <phoneticPr fontId="3" type="noConversion"/>
  </si>
  <si>
    <t>휴일근로수당</t>
    <phoneticPr fontId="3" type="noConversion"/>
  </si>
  <si>
    <t>근로자퇴직급여 보장법
 제8조</t>
    <phoneticPr fontId="3" type="noConversion"/>
  </si>
  <si>
    <t>휴일근로수당</t>
    <phoneticPr fontId="6" type="noConversion"/>
  </si>
  <si>
    <t>통상일급</t>
  </si>
  <si>
    <t>통상시간급</t>
  </si>
  <si>
    <t>기본급</t>
  </si>
  <si>
    <t>상여금</t>
  </si>
  <si>
    <t>퇴직급여충당금</t>
  </si>
  <si>
    <t>연장근로일수</t>
  </si>
  <si>
    <t>휴일근로일수</t>
  </si>
  <si>
    <t>연장근로일수</t>
    <phoneticPr fontId="3" type="noConversion"/>
  </si>
  <si>
    <t xml:space="preserve">   2) 통상시간급 : 시간급+(상여금÷209시간)</t>
  </si>
  <si>
    <t>통상일급×15일/년÷12개월</t>
    <phoneticPr fontId="3" type="noConversion"/>
  </si>
  <si>
    <t>(기본급+제수당+상여금)÷12개월</t>
    <phoneticPr fontId="3" type="noConversion"/>
  </si>
  <si>
    <t>금     액</t>
    <phoneticPr fontId="10" type="noConversion"/>
  </si>
  <si>
    <t>용역기간현황표</t>
    <phoneticPr fontId="3" type="noConversion"/>
  </si>
  <si>
    <t>구    분</t>
    <phoneticPr fontId="3" type="noConversion"/>
  </si>
  <si>
    <t>비  고</t>
    <phoneticPr fontId="3" type="noConversion"/>
  </si>
  <si>
    <t>1월</t>
  </si>
  <si>
    <t>평일</t>
    <phoneticPr fontId="3" type="noConversion"/>
  </si>
  <si>
    <t>토요일</t>
    <phoneticPr fontId="3" type="noConversion"/>
  </si>
  <si>
    <t>일요일</t>
    <phoneticPr fontId="3" type="noConversion"/>
  </si>
  <si>
    <t>공휴일
및 명절</t>
    <phoneticPr fontId="3" type="noConversion"/>
  </si>
  <si>
    <t>계</t>
    <phoneticPr fontId="3" type="noConversion"/>
  </si>
  <si>
    <t>주) 기간 : 제시된 과업지시서 참조</t>
  </si>
  <si>
    <t>소계</t>
    <phoneticPr fontId="3" type="noConversion"/>
  </si>
  <si>
    <t>1인당 
휴일근로일수</t>
    <phoneticPr fontId="3" type="noConversion"/>
  </si>
  <si>
    <t>휴일</t>
    <phoneticPr fontId="3" type="noConversion"/>
  </si>
  <si>
    <t>총 용역비</t>
    <phoneticPr fontId="3" type="noConversion"/>
  </si>
  <si>
    <t>3년</t>
    <phoneticPr fontId="3" type="noConversion"/>
  </si>
  <si>
    <t>연장/야간/휴일근로에 대하여 통상임금의 100분의 50이상을
 가산하여 지급하여야 한다.</t>
    <phoneticPr fontId="10" type="noConversion"/>
  </si>
  <si>
    <t>구 분</t>
    <phoneticPr fontId="3" type="noConversion"/>
  </si>
  <si>
    <t>순용역원가</t>
  </si>
  <si>
    <t>용역원가</t>
  </si>
  <si>
    <t>부가가치세(10%)</t>
  </si>
  <si>
    <t>구        분</t>
    <phoneticPr fontId="31" type="noConversion"/>
  </si>
  <si>
    <t>비    고</t>
    <phoneticPr fontId="31" type="noConversion"/>
  </si>
  <si>
    <t>노임단가(일)</t>
    <phoneticPr fontId="31" type="noConversion"/>
  </si>
  <si>
    <t>월평균근무일수</t>
    <phoneticPr fontId="31" type="noConversion"/>
  </si>
  <si>
    <t>노임단가(월)</t>
    <phoneticPr fontId="31" type="noConversion"/>
  </si>
  <si>
    <t>기본급</t>
    <phoneticPr fontId="31" type="noConversion"/>
  </si>
  <si>
    <t>상여금</t>
    <phoneticPr fontId="31" type="noConversion"/>
  </si>
  <si>
    <t>퇴직급여</t>
    <phoneticPr fontId="31" type="noConversion"/>
  </si>
  <si>
    <t>합    계</t>
    <phoneticPr fontId="31" type="noConversion"/>
  </si>
  <si>
    <t>기술사</t>
  </si>
  <si>
    <t>특급기술자</t>
  </si>
  <si>
    <t>고급기술자</t>
  </si>
  <si>
    <t>중급기술자</t>
  </si>
  <si>
    <t>초급기술자</t>
  </si>
  <si>
    <t>고급숙련기술자</t>
  </si>
  <si>
    <t>중급숙련기술자</t>
  </si>
  <si>
    <t>초급숙련기술자</t>
  </si>
  <si>
    <t>단위 : 원/월</t>
    <phoneticPr fontId="3" type="noConversion"/>
  </si>
  <si>
    <t>기본급×400%÷12개월</t>
    <phoneticPr fontId="3" type="noConversion"/>
  </si>
  <si>
    <t>(기본급+제수당+상여금)×4.5%</t>
  </si>
  <si>
    <t>(기본급+제수당+상여금)×0.06%</t>
  </si>
  <si>
    <t>인건비</t>
    <phoneticPr fontId="31" type="noConversion"/>
  </si>
  <si>
    <t>인적보험료</t>
    <phoneticPr fontId="31" type="noConversion"/>
  </si>
  <si>
    <t>제수당</t>
    <phoneticPr fontId="31" type="noConversion"/>
  </si>
  <si>
    <t>연차수당</t>
    <phoneticPr fontId="3" type="noConversion"/>
  </si>
  <si>
    <t>계</t>
    <phoneticPr fontId="31" type="noConversion"/>
  </si>
  <si>
    <t>소    계</t>
    <phoneticPr fontId="3" type="noConversion"/>
  </si>
  <si>
    <t>(기본급+제수당+상여금)÷12</t>
    <phoneticPr fontId="3" type="noConversion"/>
  </si>
  <si>
    <t>일급÷8시간</t>
    <phoneticPr fontId="3" type="noConversion"/>
  </si>
  <si>
    <t>시간급+(상여금÷209시간)</t>
    <phoneticPr fontId="3" type="noConversion"/>
  </si>
  <si>
    <t>통상시간급</t>
    <phoneticPr fontId="3" type="noConversion"/>
  </si>
  <si>
    <t>(통상시간급×8시간)×15일/년÷12개월</t>
    <phoneticPr fontId="3" type="noConversion"/>
  </si>
  <si>
    <t>직 책 명</t>
    <phoneticPr fontId="3" type="noConversion"/>
  </si>
  <si>
    <t>환경팀원</t>
    <phoneticPr fontId="3" type="noConversion"/>
  </si>
  <si>
    <t>환경팀</t>
    <phoneticPr fontId="3" type="noConversion"/>
  </si>
  <si>
    <t>엔지니어링기술자 등급별 M/D당 임율산출표</t>
    <phoneticPr fontId="3" type="noConversion"/>
  </si>
  <si>
    <t>단위 : 원</t>
    <phoneticPr fontId="2" type="noConversion"/>
  </si>
  <si>
    <t>구      분</t>
    <phoneticPr fontId="10" type="noConversion"/>
  </si>
  <si>
    <t>기계/설비</t>
    <phoneticPr fontId="2" type="noConversion"/>
  </si>
  <si>
    <t>전기</t>
    <phoneticPr fontId="10" type="noConversion"/>
  </si>
  <si>
    <t>정보통신</t>
    <phoneticPr fontId="10" type="noConversion"/>
  </si>
  <si>
    <t>건설</t>
    <phoneticPr fontId="10" type="noConversion"/>
  </si>
  <si>
    <t>환경</t>
    <phoneticPr fontId="10" type="noConversion"/>
  </si>
  <si>
    <t>원자력</t>
    <phoneticPr fontId="10" type="noConversion"/>
  </si>
  <si>
    <t>기타</t>
    <phoneticPr fontId="10" type="noConversion"/>
  </si>
  <si>
    <t>비   고</t>
    <phoneticPr fontId="2" type="noConversion"/>
  </si>
  <si>
    <t>기술사</t>
    <phoneticPr fontId="2" type="noConversion"/>
  </si>
  <si>
    <t>특급기술자</t>
    <phoneticPr fontId="2" type="noConversion"/>
  </si>
  <si>
    <t>고급기술자</t>
    <phoneticPr fontId="2" type="noConversion"/>
  </si>
  <si>
    <t>중급기술자</t>
    <phoneticPr fontId="2" type="noConversion"/>
  </si>
  <si>
    <t>초급기술자</t>
    <phoneticPr fontId="2" type="noConversion"/>
  </si>
  <si>
    <t>고급숙련기술자</t>
    <phoneticPr fontId="2" type="noConversion"/>
  </si>
  <si>
    <t>중급숙련기술자</t>
    <phoneticPr fontId="2" type="noConversion"/>
  </si>
  <si>
    <t>초급숙련기술자</t>
    <phoneticPr fontId="2" type="noConversion"/>
  </si>
  <si>
    <t>월평균
근무일수</t>
    <phoneticPr fontId="3" type="noConversion"/>
  </si>
  <si>
    <t xml:space="preserve">  비    목</t>
    <phoneticPr fontId="3" type="noConversion"/>
  </si>
  <si>
    <t>인건비+경비</t>
    <phoneticPr fontId="3" type="noConversion"/>
  </si>
  <si>
    <t>복리후생비</t>
    <phoneticPr fontId="10" type="noConversion"/>
  </si>
  <si>
    <t>고 정 경 비</t>
    <phoneticPr fontId="10" type="noConversion"/>
  </si>
  <si>
    <t>안전관리비</t>
    <phoneticPr fontId="10" type="noConversion"/>
  </si>
  <si>
    <t>교육훈련비</t>
    <phoneticPr fontId="10" type="noConversion"/>
  </si>
  <si>
    <t>소모품비</t>
    <phoneticPr fontId="10" type="noConversion"/>
  </si>
  <si>
    <t>통신 및 우편비</t>
    <phoneticPr fontId="10" type="noConversion"/>
  </si>
  <si>
    <t>계</t>
    <phoneticPr fontId="10" type="noConversion"/>
  </si>
  <si>
    <t>소모자재비</t>
    <phoneticPr fontId="10" type="noConversion"/>
  </si>
  <si>
    <t>측정검사수수료</t>
    <phoneticPr fontId="10" type="noConversion"/>
  </si>
  <si>
    <t>차량유지비</t>
    <phoneticPr fontId="10" type="noConversion"/>
  </si>
  <si>
    <t>보안관리비</t>
    <phoneticPr fontId="10" type="noConversion"/>
  </si>
  <si>
    <t>전력비</t>
    <phoneticPr fontId="10" type="noConversion"/>
  </si>
  <si>
    <t>수도광열비</t>
    <phoneticPr fontId="10" type="noConversion"/>
  </si>
  <si>
    <t>시설물보험료</t>
    <phoneticPr fontId="10" type="noConversion"/>
  </si>
  <si>
    <t>변 동 경 비</t>
    <phoneticPr fontId="10" type="noConversion"/>
  </si>
  <si>
    <t>건강검진비</t>
    <phoneticPr fontId="10" type="noConversion"/>
  </si>
  <si>
    <t>의약품비</t>
    <phoneticPr fontId="3" type="noConversion"/>
  </si>
  <si>
    <t>단위
(1인)당
의약품비</t>
    <phoneticPr fontId="10" type="noConversion"/>
  </si>
  <si>
    <t>단위
(1인)당
건강검진비</t>
    <phoneticPr fontId="10" type="noConversion"/>
  </si>
  <si>
    <t>주 3)</t>
    <phoneticPr fontId="10" type="noConversion"/>
  </si>
  <si>
    <t>주 4)</t>
    <phoneticPr fontId="10" type="noConversion"/>
  </si>
  <si>
    <t>주 5)</t>
    <phoneticPr fontId="10" type="noConversion"/>
  </si>
  <si>
    <t>피복비</t>
    <phoneticPr fontId="3" type="noConversion"/>
  </si>
  <si>
    <t>하절기</t>
    <phoneticPr fontId="3" type="noConversion"/>
  </si>
  <si>
    <t>춘추복</t>
    <phoneticPr fontId="3" type="noConversion"/>
  </si>
  <si>
    <t>동절기</t>
    <phoneticPr fontId="3" type="noConversion"/>
  </si>
  <si>
    <t>주 1) 수량 : 전문업체지급실적 참조</t>
    <phoneticPr fontId="3" type="noConversion"/>
  </si>
  <si>
    <t>계</t>
    <phoneticPr fontId="3" type="noConversion"/>
  </si>
  <si>
    <t>구   분</t>
    <phoneticPr fontId="3" type="noConversion"/>
  </si>
  <si>
    <t>규  격</t>
    <phoneticPr fontId="3" type="noConversion"/>
  </si>
  <si>
    <t>식대(평일)</t>
    <phoneticPr fontId="3" type="noConversion"/>
  </si>
  <si>
    <t>식대(휴일)</t>
    <phoneticPr fontId="3" type="noConversion"/>
  </si>
  <si>
    <t>단위(1인)당 건강검진비산출표</t>
    <phoneticPr fontId="3" type="noConversion"/>
  </si>
  <si>
    <t>건강검진비</t>
    <phoneticPr fontId="3" type="noConversion"/>
  </si>
  <si>
    <t>단위(1인)당 의약품비산출표</t>
    <phoneticPr fontId="3" type="noConversion"/>
  </si>
  <si>
    <t>안전관리비산출표</t>
    <phoneticPr fontId="5" type="noConversion"/>
  </si>
  <si>
    <t>법정교육</t>
    <phoneticPr fontId="3" type="noConversion"/>
  </si>
  <si>
    <t>건설협회교육</t>
    <phoneticPr fontId="3" type="noConversion"/>
  </si>
  <si>
    <t>임시교육</t>
    <phoneticPr fontId="3" type="noConversion"/>
  </si>
  <si>
    <t>세 부 내 용</t>
    <phoneticPr fontId="3" type="noConversion"/>
  </si>
  <si>
    <t>분야별 전문기술 보수교육</t>
    <phoneticPr fontId="3" type="noConversion"/>
  </si>
  <si>
    <t>전문인력양성교육(기계)</t>
    <phoneticPr fontId="3" type="noConversion"/>
  </si>
  <si>
    <t>전문인력양성교육(전기)</t>
    <phoneticPr fontId="3" type="noConversion"/>
  </si>
  <si>
    <t>전문인력양성교육(IT)</t>
    <phoneticPr fontId="3" type="noConversion"/>
  </si>
  <si>
    <t>교육훈련비산출표</t>
    <phoneticPr fontId="5" type="noConversion"/>
  </si>
  <si>
    <t>인/회</t>
    <phoneticPr fontId="4" type="noConversion"/>
  </si>
  <si>
    <t>소모품비산출표</t>
    <phoneticPr fontId="5" type="noConversion"/>
  </si>
  <si>
    <t>복사용지</t>
    <phoneticPr fontId="3" type="noConversion"/>
  </si>
  <si>
    <t>전산처리비</t>
    <phoneticPr fontId="3" type="noConversion"/>
  </si>
  <si>
    <t>식</t>
    <phoneticPr fontId="4" type="noConversion"/>
  </si>
  <si>
    <t>회선</t>
    <phoneticPr fontId="4" type="noConversion"/>
  </si>
  <si>
    <t>통신비</t>
    <phoneticPr fontId="3" type="noConversion"/>
  </si>
  <si>
    <t>통신비산출표</t>
    <phoneticPr fontId="5" type="noConversion"/>
  </si>
  <si>
    <t>전화 및 팩스</t>
    <phoneticPr fontId="3" type="noConversion"/>
  </si>
  <si>
    <t>인터넷</t>
    <phoneticPr fontId="3" type="noConversion"/>
  </si>
  <si>
    <t>출장여비산출표</t>
    <phoneticPr fontId="5" type="noConversion"/>
  </si>
  <si>
    <t>근거리출장</t>
    <phoneticPr fontId="3" type="noConversion"/>
  </si>
  <si>
    <t>중거리출장</t>
    <phoneticPr fontId="3" type="noConversion"/>
  </si>
  <si>
    <t>장거리출장</t>
    <phoneticPr fontId="3" type="noConversion"/>
  </si>
  <si>
    <t>주 3)</t>
    <phoneticPr fontId="3" type="noConversion"/>
  </si>
  <si>
    <t>비     고</t>
    <phoneticPr fontId="3" type="noConversion"/>
  </si>
  <si>
    <t>시설물보험료산출표</t>
    <phoneticPr fontId="5" type="noConversion"/>
  </si>
  <si>
    <t>공장화재보험</t>
    <phoneticPr fontId="3" type="noConversion"/>
  </si>
  <si>
    <t>제1집하장 : 2,410.00㎡</t>
    <phoneticPr fontId="3" type="noConversion"/>
  </si>
  <si>
    <t>동산종합보험</t>
    <phoneticPr fontId="3" type="noConversion"/>
  </si>
  <si>
    <t>제1집하장</t>
    <phoneticPr fontId="3" type="noConversion"/>
  </si>
  <si>
    <t>제2집하장</t>
  </si>
  <si>
    <t>제3집하장</t>
  </si>
  <si>
    <t>제4집하장</t>
  </si>
  <si>
    <t>제2집하장 : 1,458.56㎡</t>
    <phoneticPr fontId="3" type="noConversion"/>
  </si>
  <si>
    <t>제3집하장 : 1,435.39㎡</t>
    <phoneticPr fontId="3" type="noConversion"/>
  </si>
  <si>
    <t>제4집하장 : 1,449.49㎡</t>
    <phoneticPr fontId="3" type="noConversion"/>
  </si>
  <si>
    <t>계(연간)</t>
    <phoneticPr fontId="3" type="noConversion"/>
  </si>
  <si>
    <t>계(월간)</t>
    <phoneticPr fontId="3" type="noConversion"/>
  </si>
  <si>
    <t>계(연간)÷12개월</t>
    <phoneticPr fontId="3" type="noConversion"/>
  </si>
  <si>
    <t>승강기유지보수</t>
    <phoneticPr fontId="3" type="noConversion"/>
  </si>
  <si>
    <t>제1집하장</t>
    <phoneticPr fontId="3" type="noConversion"/>
  </si>
  <si>
    <t>측정검사수수료산출표</t>
    <phoneticPr fontId="5" type="noConversion"/>
  </si>
  <si>
    <t>측정검사수수료</t>
    <phoneticPr fontId="3" type="noConversion"/>
  </si>
  <si>
    <t>회</t>
    <phoneticPr fontId="4" type="noConversion"/>
  </si>
  <si>
    <t>소모자재비산출표</t>
    <phoneticPr fontId="5" type="noConversion"/>
  </si>
  <si>
    <t>소모자재비</t>
    <phoneticPr fontId="3" type="noConversion"/>
  </si>
  <si>
    <t>공구 및 계측장비</t>
    <phoneticPr fontId="3" type="noConversion"/>
  </si>
  <si>
    <t>공구수리</t>
    <phoneticPr fontId="3" type="noConversion"/>
  </si>
  <si>
    <t>전기공구 구입</t>
    <phoneticPr fontId="3" type="noConversion"/>
  </si>
  <si>
    <t>유지관리예비품</t>
    <phoneticPr fontId="3" type="noConversion"/>
  </si>
  <si>
    <t>(1~4집하장)</t>
    <phoneticPr fontId="3" type="noConversion"/>
  </si>
  <si>
    <t>보안관리비산출표</t>
    <phoneticPr fontId="5" type="noConversion"/>
  </si>
  <si>
    <t>보안관리비</t>
    <phoneticPr fontId="3" type="noConversion"/>
  </si>
  <si>
    <t>기본요금</t>
    <phoneticPr fontId="3" type="noConversion"/>
  </si>
  <si>
    <t>예비요금</t>
    <phoneticPr fontId="3" type="noConversion"/>
  </si>
  <si>
    <t>사용요금</t>
    <phoneticPr fontId="3" type="noConversion"/>
  </si>
  <si>
    <t>kw/년</t>
    <phoneticPr fontId="4" type="noConversion"/>
  </si>
  <si>
    <t>식</t>
    <phoneticPr fontId="4" type="noConversion"/>
  </si>
  <si>
    <t>차량유지비산출표</t>
    <phoneticPr fontId="5" type="noConversion"/>
  </si>
  <si>
    <t>유류비</t>
    <phoneticPr fontId="3" type="noConversion"/>
  </si>
  <si>
    <t>차량수리비</t>
    <phoneticPr fontId="3" type="noConversion"/>
  </si>
  <si>
    <t>봉고3 초장축 더블캡(1톤)</t>
    <phoneticPr fontId="3" type="noConversion"/>
  </si>
  <si>
    <t>봉고3 초장축 싱글캡(1톤)</t>
    <phoneticPr fontId="3" type="noConversion"/>
  </si>
  <si>
    <t>업무용 트력(경유)</t>
    <phoneticPr fontId="3" type="noConversion"/>
  </si>
  <si>
    <t>대/월</t>
    <phoneticPr fontId="4" type="noConversion"/>
  </si>
  <si>
    <t>ℓ</t>
    <phoneticPr fontId="4" type="noConversion"/>
  </si>
  <si>
    <t>상수도사용료</t>
    <phoneticPr fontId="3" type="noConversion"/>
  </si>
  <si>
    <t>1. 수도광열비</t>
    <phoneticPr fontId="3" type="noConversion"/>
  </si>
  <si>
    <t>정액요금</t>
    <phoneticPr fontId="3" type="noConversion"/>
  </si>
  <si>
    <t>물이용부담금</t>
    <phoneticPr fontId="3" type="noConversion"/>
  </si>
  <si>
    <t>하수도 사용료</t>
    <phoneticPr fontId="3" type="noConversion"/>
  </si>
  <si>
    <t>2. 가스연료비</t>
    <phoneticPr fontId="3" type="noConversion"/>
  </si>
  <si>
    <t>도시가스</t>
    <phoneticPr fontId="3" type="noConversion"/>
  </si>
  <si>
    <t>냉난방용(제1집하장만 해당)</t>
    <phoneticPr fontId="3" type="noConversion"/>
  </si>
  <si>
    <t>㎥/월</t>
    <phoneticPr fontId="4" type="noConversion"/>
  </si>
  <si>
    <t>개소</t>
    <phoneticPr fontId="4" type="noConversion"/>
  </si>
  <si>
    <t>고정비 운영원가</t>
    <phoneticPr fontId="3" type="noConversion"/>
  </si>
  <si>
    <t>고   정   비</t>
    <phoneticPr fontId="3" type="noConversion"/>
  </si>
  <si>
    <t>변  동  비</t>
    <phoneticPr fontId="3" type="noConversion"/>
  </si>
  <si>
    <t>고 정 경 비</t>
    <phoneticPr fontId="6" type="noConversion"/>
  </si>
  <si>
    <t>변동경비</t>
    <phoneticPr fontId="3" type="noConversion"/>
  </si>
  <si>
    <t>변동비 운영원가</t>
    <phoneticPr fontId="3" type="noConversion"/>
  </si>
  <si>
    <t>용역원가×10%</t>
    <phoneticPr fontId="3" type="noConversion"/>
  </si>
  <si>
    <t>용역원가</t>
    <phoneticPr fontId="3" type="noConversion"/>
  </si>
  <si>
    <t>월간용역비</t>
    <phoneticPr fontId="3" type="noConversion"/>
  </si>
  <si>
    <t>연간용역비</t>
    <phoneticPr fontId="3" type="noConversion"/>
  </si>
  <si>
    <t>총계</t>
    <phoneticPr fontId="3" type="noConversion"/>
  </si>
  <si>
    <t>고정비운영원가+변동비운영원가</t>
    <phoneticPr fontId="3" type="noConversion"/>
  </si>
  <si>
    <t>고정경비</t>
    <phoneticPr fontId="3" type="noConversion"/>
  </si>
  <si>
    <t>전력비산출표</t>
    <phoneticPr fontId="5" type="noConversion"/>
  </si>
  <si>
    <t>수도광열비산출표</t>
    <phoneticPr fontId="5" type="noConversion"/>
  </si>
  <si>
    <t>기타소모자재
 (시설물유지 관련)</t>
    <phoneticPr fontId="3" type="noConversion"/>
  </si>
  <si>
    <t>소모자재비</t>
  </si>
  <si>
    <t>측정검사수수료</t>
  </si>
  <si>
    <t>차량유지비</t>
  </si>
  <si>
    <t>보안관리비</t>
  </si>
  <si>
    <t>전력비</t>
  </si>
  <si>
    <t>수도광열비</t>
  </si>
  <si>
    <t>시설물보험료</t>
  </si>
  <si>
    <t>안전관리비</t>
  </si>
  <si>
    <t>교육훈련비</t>
  </si>
  <si>
    <t>소모품비</t>
  </si>
  <si>
    <t>통신 및 우편비</t>
  </si>
  <si>
    <t>합계</t>
    <phoneticPr fontId="3" type="noConversion"/>
  </si>
  <si>
    <t>변동비부문</t>
    <phoneticPr fontId="3" type="noConversion"/>
  </si>
  <si>
    <t>출장여비</t>
    <phoneticPr fontId="3" type="noConversion"/>
  </si>
  <si>
    <t>출장여비</t>
    <phoneticPr fontId="10" type="noConversion"/>
  </si>
  <si>
    <t xml:space="preserve">   행정자치부 예규에 의한 "폐기물 처리·재활용 용역"의 일반관리비 비율 적용 </t>
    <phoneticPr fontId="3" type="noConversion"/>
  </si>
  <si>
    <t>대납분</t>
    <phoneticPr fontId="3" type="noConversion"/>
  </si>
  <si>
    <t>변동비부문+대납분</t>
    <phoneticPr fontId="3" type="noConversion"/>
  </si>
  <si>
    <t>대납분</t>
    <phoneticPr fontId="10" type="noConversion"/>
  </si>
  <si>
    <t>관리소장</t>
  </si>
  <si>
    <t>전기팀장</t>
  </si>
  <si>
    <t>기계담당</t>
  </si>
  <si>
    <t>전기담당</t>
  </si>
  <si>
    <t>평일 : 주간근무
토/일 : 격주근무</t>
    <phoneticPr fontId="3" type="noConversion"/>
  </si>
  <si>
    <t>단수조정</t>
    <phoneticPr fontId="3" type="noConversion"/>
  </si>
  <si>
    <t>휴일근로일수</t>
    <phoneticPr fontId="3" type="noConversion"/>
  </si>
  <si>
    <t>통상일급×연장/야간/휴일근로
 일수×할증율</t>
    <phoneticPr fontId="3" type="noConversion"/>
  </si>
  <si>
    <t>제1집하장</t>
    <phoneticPr fontId="3" type="noConversion"/>
  </si>
  <si>
    <t>당해 전력사용량(kWh)</t>
    <phoneticPr fontId="3" type="noConversion"/>
  </si>
  <si>
    <t>1월</t>
    <phoneticPr fontId="3" type="noConversion"/>
  </si>
  <si>
    <t>예상 전력사용량(kWh)</t>
    <phoneticPr fontId="3" type="noConversion"/>
  </si>
  <si>
    <t>계</t>
    <phoneticPr fontId="3" type="noConversion"/>
  </si>
  <si>
    <t>전력사용량(kWh)산출표</t>
    <phoneticPr fontId="3" type="noConversion"/>
  </si>
  <si>
    <t>엔지니어링기술자노임단가 기본급추정 산출표</t>
    <phoneticPr fontId="31" type="noConversion"/>
  </si>
  <si>
    <t>원/월</t>
    <phoneticPr fontId="3" type="noConversion"/>
  </si>
  <si>
    <t xml:space="preserve">   CODE NO. E37.E381,2『하수, 폐수 및 분뇨처리, 폐기물 수집운반처리업』</t>
    <phoneticPr fontId="3" type="noConversion"/>
  </si>
  <si>
    <t>주 1)</t>
    <phoneticPr fontId="3" type="noConversion"/>
  </si>
  <si>
    <t>사고 자차 금액 
 및 소손 수리</t>
    <phoneticPr fontId="3" type="noConversion"/>
  </si>
  <si>
    <t>ADT 캡스</t>
    <phoneticPr fontId="3" type="noConversion"/>
  </si>
  <si>
    <t>1. 운영원가 산정</t>
    <phoneticPr fontId="3" type="noConversion"/>
  </si>
  <si>
    <t>* 환경부문 : 대기관리, 수질관리, 소음·진동, 폐기물처리, 자연·토양환경이 있음</t>
    <phoneticPr fontId="3" type="noConversion"/>
  </si>
  <si>
    <t>주 1) 수량 : 계약지급실적 참조</t>
    <phoneticPr fontId="3" type="noConversion"/>
  </si>
  <si>
    <t>수선유지비</t>
  </si>
  <si>
    <t>수선유지비산출표</t>
  </si>
  <si>
    <t>파주시업무(주간보고)</t>
    <phoneticPr fontId="3" type="noConversion"/>
  </si>
  <si>
    <t>회/월</t>
    <phoneticPr fontId="4" type="noConversion"/>
  </si>
  <si>
    <t>타시군구 업무(악취포집 : 의정부)</t>
    <phoneticPr fontId="3" type="noConversion"/>
  </si>
  <si>
    <t>선진지 견학(타시도)</t>
    <phoneticPr fontId="3" type="noConversion"/>
  </si>
  <si>
    <t>주 1) 수량 : 전문업체실적 참조</t>
    <phoneticPr fontId="3" type="noConversion"/>
  </si>
  <si>
    <t xml:space="preserve">   2) 단가 : 공무원여비규정(별표2 국내여비지급표)에 의거 운임은 실비 적용으로 실비용과 계약실적금액을 </t>
    <phoneticPr fontId="3" type="noConversion"/>
  </si>
  <si>
    <t>국내여비운임조사표</t>
    <phoneticPr fontId="14" type="noConversion"/>
  </si>
  <si>
    <t>단위 : 원</t>
    <phoneticPr fontId="3" type="noConversion"/>
  </si>
  <si>
    <t>출장지</t>
    <phoneticPr fontId="3" type="noConversion"/>
  </si>
  <si>
    <t>노   선</t>
    <phoneticPr fontId="3" type="noConversion"/>
  </si>
  <si>
    <t>단 위</t>
    <phoneticPr fontId="26" type="noConversion"/>
  </si>
  <si>
    <t>수량</t>
    <phoneticPr fontId="26" type="noConversion"/>
  </si>
  <si>
    <t>단   가</t>
    <phoneticPr fontId="26" type="noConversion"/>
  </si>
  <si>
    <t>금    액</t>
    <phoneticPr fontId="26" type="noConversion"/>
  </si>
  <si>
    <t>비    고</t>
    <phoneticPr fontId="3" type="noConversion"/>
  </si>
  <si>
    <t>부산</t>
    <phoneticPr fontId="3" type="noConversion"/>
  </si>
  <si>
    <t>서울 ~ 부산</t>
    <phoneticPr fontId="3" type="noConversion"/>
  </si>
  <si>
    <t>회/왕복</t>
  </si>
  <si>
    <t>광역시(경남)</t>
    <phoneticPr fontId="3" type="noConversion"/>
  </si>
  <si>
    <t>대전</t>
    <phoneticPr fontId="3" type="noConversion"/>
  </si>
  <si>
    <t>서울 ~ 대전</t>
  </si>
  <si>
    <t>광역시(충청)</t>
    <phoneticPr fontId="3" type="noConversion"/>
  </si>
  <si>
    <t>대구</t>
    <phoneticPr fontId="3" type="noConversion"/>
  </si>
  <si>
    <t>서울 ~ 대구</t>
  </si>
  <si>
    <t>광역시(경북)</t>
    <phoneticPr fontId="3" type="noConversion"/>
  </si>
  <si>
    <t>광주</t>
    <phoneticPr fontId="3" type="noConversion"/>
  </si>
  <si>
    <t>용산 ~ 광주</t>
    <phoneticPr fontId="3" type="noConversion"/>
  </si>
  <si>
    <t>광역시(전남)</t>
    <phoneticPr fontId="3" type="noConversion"/>
  </si>
  <si>
    <t>울산</t>
    <phoneticPr fontId="3" type="noConversion"/>
  </si>
  <si>
    <t>서울 ~ 울산</t>
  </si>
  <si>
    <t>광역시(경남)</t>
    <phoneticPr fontId="3" type="noConversion"/>
  </si>
  <si>
    <t>전주</t>
    <phoneticPr fontId="3" type="noConversion"/>
  </si>
  <si>
    <t>광명 ~ 전주</t>
    <phoneticPr fontId="3" type="noConversion"/>
  </si>
  <si>
    <t>도청소재지(전북)</t>
    <phoneticPr fontId="3" type="noConversion"/>
  </si>
  <si>
    <t>세종</t>
    <phoneticPr fontId="3" type="noConversion"/>
  </si>
  <si>
    <t>광명 ~ 오송</t>
    <phoneticPr fontId="3" type="noConversion"/>
  </si>
  <si>
    <t>세종특별자치시</t>
    <phoneticPr fontId="3" type="noConversion"/>
  </si>
  <si>
    <t>계</t>
    <phoneticPr fontId="3" type="noConversion"/>
  </si>
  <si>
    <t>평 균 금 액</t>
    <phoneticPr fontId="3" type="noConversion"/>
  </si>
  <si>
    <t>주 1) 출장지 : 파주(서울 기준) ~ 전국 광역시/도청 소재지를 출장지로 기준하여 평균금액 적용</t>
    <phoneticPr fontId="3" type="noConversion"/>
  </si>
  <si>
    <t xml:space="preserve">   2) 단가 : 물가지 및 계약실적금액을 비교하여 낮은금액 적용</t>
    <phoneticPr fontId="3" type="noConversion"/>
  </si>
  <si>
    <t xml:space="preserve">   2) 단가 : 시중유통거래가격 및 계약실적금액을 비교하여 낮은금액 적용</t>
    <phoneticPr fontId="3" type="noConversion"/>
  </si>
  <si>
    <t>회/월</t>
    <phoneticPr fontId="3" type="noConversion"/>
  </si>
  <si>
    <t>SET/월</t>
    <phoneticPr fontId="3" type="noConversion"/>
  </si>
  <si>
    <t>작업관련 소모자재</t>
    <phoneticPr fontId="3" type="noConversion"/>
  </si>
  <si>
    <t>보험료산정기준표</t>
    <phoneticPr fontId="24" type="noConversion"/>
  </si>
  <si>
    <t>회</t>
    <phoneticPr fontId="4" type="noConversion"/>
  </si>
  <si>
    <t xml:space="preserve">   2) 단가 : 실 지급비용 참조</t>
    <phoneticPr fontId="3" type="noConversion"/>
  </si>
  <si>
    <t>주 1) 단가 : 전문업체 위탁운영비 청구내역서 참조</t>
    <phoneticPr fontId="3" type="noConversion"/>
  </si>
  <si>
    <t>전기안전정기검사</t>
    <phoneticPr fontId="3" type="noConversion"/>
  </si>
  <si>
    <t>차량리스비
 (보험료포함)</t>
    <phoneticPr fontId="3" type="noConversion"/>
  </si>
  <si>
    <t>㎥</t>
    <phoneticPr fontId="4" type="noConversion"/>
  </si>
  <si>
    <t>일+공휴</t>
    <phoneticPr fontId="3" type="noConversion"/>
  </si>
  <si>
    <t>주 1) 단가 : 2017년 납부된 보험료 참조</t>
    <phoneticPr fontId="3" type="noConversion"/>
  </si>
  <si>
    <t>석면피해구제분담금</t>
    <phoneticPr fontId="10" type="noConversion"/>
  </si>
  <si>
    <t>석면피해구제분담금</t>
    <phoneticPr fontId="3" type="noConversion"/>
  </si>
  <si>
    <t>주 1) 단가 : 전문업체 위탁운영비 청구내역서 및 상하수도요금 청구고지서 참조</t>
    <phoneticPr fontId="3" type="noConversion"/>
  </si>
  <si>
    <t>석면피해구제분담금</t>
    <phoneticPr fontId="3" type="noConversion"/>
  </si>
  <si>
    <t xml:space="preserve">   2) 단가 : 물가지 및 시중유통거래가격, 계약실적금액 참조</t>
    <phoneticPr fontId="3" type="noConversion"/>
  </si>
  <si>
    <t>주 1) 수량 : 실 교육횟수 참조</t>
    <phoneticPr fontId="3" type="noConversion"/>
  </si>
  <si>
    <t xml:space="preserve">             비교하여 낮은비용 적용</t>
    <phoneticPr fontId="3" type="noConversion"/>
  </si>
  <si>
    <t>주 1) 수량 : 현 운영기준 참조</t>
    <phoneticPr fontId="3" type="noConversion"/>
  </si>
  <si>
    <t>주 1) 단가 : 전문업체 위탁운영비 청구내역서 참조</t>
    <phoneticPr fontId="3" type="noConversion"/>
  </si>
  <si>
    <t xml:space="preserve">   2) 단가 : 전문업체 위탁운영비 청구내역서 및 전기요금 청구고지서 참조</t>
    <phoneticPr fontId="3" type="noConversion"/>
  </si>
  <si>
    <t>관리팀</t>
  </si>
  <si>
    <t>관리팀장</t>
  </si>
  <si>
    <t>운영팀</t>
    <phoneticPr fontId="3" type="noConversion"/>
  </si>
  <si>
    <t>조끼</t>
    <phoneticPr fontId="3" type="noConversion"/>
  </si>
  <si>
    <t>호이스트 정기검사</t>
    <phoneticPr fontId="3" type="noConversion"/>
  </si>
  <si>
    <t>일(M/D)당기본급</t>
  </si>
  <si>
    <t>시간(M/HR)당기본급</t>
  </si>
  <si>
    <t>일(M/D)당
기본급</t>
  </si>
  <si>
    <t>시간(M/HR)당
기본급</t>
  </si>
  <si>
    <t xml:space="preserve">   2) 시간(M/HR)당기본급 : 일(M/D)당기본급 ÷ 8시간(일일근로시간)</t>
  </si>
  <si>
    <t xml:space="preserve">   4) 월(M/M)당기본급 : 일(M/D)당기본급 × 월평균근로일수</t>
  </si>
  <si>
    <t xml:space="preserve">   2) 단가 : 실 지급비용 및 계약실적금액 적용</t>
    <phoneticPr fontId="3" type="noConversion"/>
  </si>
  <si>
    <t>안전점검 대행수수료산출표</t>
    <phoneticPr fontId="5" type="noConversion"/>
  </si>
  <si>
    <t>안전점검대행비</t>
  </si>
  <si>
    <t>공기압축기탱크 정기검사</t>
    <phoneticPr fontId="3" type="noConversion"/>
  </si>
  <si>
    <t>제1-4집하장</t>
    <phoneticPr fontId="3" type="noConversion"/>
  </si>
  <si>
    <t>전기안전점검
 대행수수료</t>
    <phoneticPr fontId="3" type="noConversion"/>
  </si>
  <si>
    <t>소방안전관리
 대행수수료</t>
    <phoneticPr fontId="3" type="noConversion"/>
  </si>
  <si>
    <t>주간단위</t>
    <phoneticPr fontId="34" type="noConversion"/>
  </si>
  <si>
    <t>증감</t>
    <phoneticPr fontId="34" type="noConversion"/>
  </si>
  <si>
    <t>가동시간(HR)</t>
    <phoneticPr fontId="34" type="noConversion"/>
  </si>
  <si>
    <t>처리량(kg)</t>
    <phoneticPr fontId="34" type="noConversion"/>
  </si>
  <si>
    <t>일반</t>
    <phoneticPr fontId="34" type="noConversion"/>
  </si>
  <si>
    <t>음식물</t>
    <phoneticPr fontId="34" type="noConversion"/>
  </si>
  <si>
    <t>계</t>
    <phoneticPr fontId="34" type="noConversion"/>
  </si>
  <si>
    <t>증감시간</t>
    <phoneticPr fontId="34" type="noConversion"/>
  </si>
  <si>
    <t>증감율</t>
    <phoneticPr fontId="34" type="noConversion"/>
  </si>
  <si>
    <t>증감
처리량</t>
    <phoneticPr fontId="34" type="noConversion"/>
  </si>
  <si>
    <t>1주차</t>
    <phoneticPr fontId="34" type="noConversion"/>
  </si>
  <si>
    <t>12/26~1/1</t>
    <phoneticPr fontId="34" type="noConversion"/>
  </si>
  <si>
    <t>2주차</t>
  </si>
  <si>
    <t>1/2~1/8</t>
    <phoneticPr fontId="34" type="noConversion"/>
  </si>
  <si>
    <t>3주차</t>
  </si>
  <si>
    <t>1/9~1/15</t>
    <phoneticPr fontId="34" type="noConversion"/>
  </si>
  <si>
    <t>4주차</t>
  </si>
  <si>
    <t>1/16~1/22</t>
    <phoneticPr fontId="34" type="noConversion"/>
  </si>
  <si>
    <t>5주차</t>
  </si>
  <si>
    <t>1/23~1/29</t>
    <phoneticPr fontId="34" type="noConversion"/>
  </si>
  <si>
    <t>6주차</t>
  </si>
  <si>
    <t>1/30~2/5</t>
    <phoneticPr fontId="34" type="noConversion"/>
  </si>
  <si>
    <t>7주차</t>
  </si>
  <si>
    <t>2/6~2/12</t>
    <phoneticPr fontId="34" type="noConversion"/>
  </si>
  <si>
    <t>8주차</t>
  </si>
  <si>
    <t>2/13~2/19</t>
    <phoneticPr fontId="34" type="noConversion"/>
  </si>
  <si>
    <t>9주차</t>
  </si>
  <si>
    <t>2/20~2/26</t>
    <phoneticPr fontId="34" type="noConversion"/>
  </si>
  <si>
    <t>10주차</t>
  </si>
  <si>
    <t>2/27~3/5</t>
    <phoneticPr fontId="34" type="noConversion"/>
  </si>
  <si>
    <t>11주차</t>
  </si>
  <si>
    <t>3/6~3/12</t>
    <phoneticPr fontId="34" type="noConversion"/>
  </si>
  <si>
    <t>12주차</t>
  </si>
  <si>
    <t>3/13~3/19</t>
    <phoneticPr fontId="34" type="noConversion"/>
  </si>
  <si>
    <t>13주차</t>
  </si>
  <si>
    <t>3/20~3/26</t>
    <phoneticPr fontId="34" type="noConversion"/>
  </si>
  <si>
    <t>14주차</t>
  </si>
  <si>
    <t>3/27~4/2</t>
    <phoneticPr fontId="34" type="noConversion"/>
  </si>
  <si>
    <t>15주차</t>
  </si>
  <si>
    <t>4/3~4/9</t>
    <phoneticPr fontId="34" type="noConversion"/>
  </si>
  <si>
    <t>16주차</t>
  </si>
  <si>
    <t>4/10~4/16</t>
    <phoneticPr fontId="34" type="noConversion"/>
  </si>
  <si>
    <t>17주차</t>
  </si>
  <si>
    <t>4/17~4/23</t>
    <phoneticPr fontId="34" type="noConversion"/>
  </si>
  <si>
    <t>18주차</t>
  </si>
  <si>
    <t>4/24~4/30</t>
    <phoneticPr fontId="34" type="noConversion"/>
  </si>
  <si>
    <t>19주차</t>
  </si>
  <si>
    <t>5/1~5/7</t>
    <phoneticPr fontId="34" type="noConversion"/>
  </si>
  <si>
    <t>20주차</t>
  </si>
  <si>
    <t>5/8~5/14</t>
    <phoneticPr fontId="34" type="noConversion"/>
  </si>
  <si>
    <t>21주차</t>
  </si>
  <si>
    <t>5/15~5/21</t>
    <phoneticPr fontId="34" type="noConversion"/>
  </si>
  <si>
    <t>22주차</t>
  </si>
  <si>
    <t>5/22~5/28</t>
    <phoneticPr fontId="34" type="noConversion"/>
  </si>
  <si>
    <t>23주차</t>
  </si>
  <si>
    <t>5/29~6/4</t>
    <phoneticPr fontId="34" type="noConversion"/>
  </si>
  <si>
    <t>24주차</t>
  </si>
  <si>
    <t>6/12~6/18</t>
    <phoneticPr fontId="34" type="noConversion"/>
  </si>
  <si>
    <t>25주차</t>
  </si>
  <si>
    <t>6/19~6/25</t>
    <phoneticPr fontId="34" type="noConversion"/>
  </si>
  <si>
    <t>26주차</t>
  </si>
  <si>
    <t>6/26~7/2</t>
    <phoneticPr fontId="34" type="noConversion"/>
  </si>
  <si>
    <t>평균</t>
    <phoneticPr fontId="34" type="noConversion"/>
  </si>
  <si>
    <t xml:space="preserve">      하면 다음과 같음</t>
    <phoneticPr fontId="34" type="noConversion"/>
  </si>
  <si>
    <t>집하장 1개소당 평균 가동시간</t>
    <phoneticPr fontId="34" type="noConversion"/>
  </si>
  <si>
    <t>구    분</t>
    <phoneticPr fontId="3" type="noConversion"/>
  </si>
  <si>
    <t>비  고</t>
    <phoneticPr fontId="3" type="noConversion"/>
  </si>
  <si>
    <t>평일</t>
    <phoneticPr fontId="3" type="noConversion"/>
  </si>
  <si>
    <t>토요일</t>
    <phoneticPr fontId="3" type="noConversion"/>
  </si>
  <si>
    <t>일요일</t>
    <phoneticPr fontId="3" type="noConversion"/>
  </si>
  <si>
    <t>공휴일
및 명절</t>
    <phoneticPr fontId="3" type="noConversion"/>
  </si>
  <si>
    <t>소계</t>
    <phoneticPr fontId="3" type="noConversion"/>
  </si>
  <si>
    <t>일+공휴</t>
    <phoneticPr fontId="3" type="noConversion"/>
  </si>
  <si>
    <t>계</t>
    <phoneticPr fontId="3" type="noConversion"/>
  </si>
  <si>
    <t xml:space="preserve"> * 근로가능일수 : 총일수 - (토/일요일+공휴일 및 명절)</t>
    <phoneticPr fontId="34" type="noConversion"/>
  </si>
  <si>
    <t xml:space="preserve"> * 근로가능일수 × 8시간</t>
    <phoneticPr fontId="34" type="noConversion"/>
  </si>
  <si>
    <t xml:space="preserve"> * 여유시간은 인적, 관리작업 여유 등을 고려하여 설정하며 통상 여유율은 10~30% 수준에서 결정</t>
    <phoneticPr fontId="34" type="noConversion"/>
  </si>
  <si>
    <t xml:space="preserve"> * ILO에서는 남자의 경우 34%의 여유율 적용하고 있음</t>
    <phoneticPr fontId="34" type="noConversion"/>
  </si>
  <si>
    <t xml:space="preserve">   4) 상기금액은 처리장 수집운반비 및 부가가치세 포함 금액임</t>
    <phoneticPr fontId="3" type="noConversion"/>
  </si>
  <si>
    <t>A4박스 외</t>
    <phoneticPr fontId="3" type="noConversion"/>
  </si>
  <si>
    <t>식</t>
    <phoneticPr fontId="4" type="noConversion"/>
  </si>
  <si>
    <t>프린트 토너 외</t>
    <phoneticPr fontId="3" type="noConversion"/>
  </si>
  <si>
    <t>식</t>
    <phoneticPr fontId="4" type="noConversion"/>
  </si>
  <si>
    <t>수집운반비</t>
    <phoneticPr fontId="3" type="noConversion"/>
  </si>
  <si>
    <t>수집운반비</t>
    <phoneticPr fontId="10" type="noConversion"/>
  </si>
  <si>
    <t xml:space="preserve">    * 월근무일수 = [(8시간(일일근로시간)×5일+8시간(유휴근로시간)]÷7일(1주)×365일/12개월 ≒ 209시간</t>
    <phoneticPr fontId="3" type="noConversion"/>
  </si>
  <si>
    <t>제수당집계표</t>
    <phoneticPr fontId="3" type="noConversion"/>
  </si>
  <si>
    <t>단   가</t>
    <phoneticPr fontId="5" type="noConversion"/>
  </si>
  <si>
    <t>비고</t>
    <phoneticPr fontId="3" type="noConversion"/>
  </si>
  <si>
    <t>사후정산</t>
    <phoneticPr fontId="3" type="noConversion"/>
  </si>
  <si>
    <t>용역기간</t>
    <phoneticPr fontId="3" type="noConversion"/>
  </si>
  <si>
    <t>구   분</t>
    <phoneticPr fontId="3" type="noConversion"/>
  </si>
  <si>
    <t>차수별용역비</t>
    <phoneticPr fontId="3" type="noConversion"/>
  </si>
  <si>
    <t xml:space="preserve">   3) 상기금액은 처리장 수집운반비 및 부가가치세 포함 금액임</t>
    <phoneticPr fontId="3" type="noConversion"/>
  </si>
  <si>
    <t>1인×1착/년÷12개월</t>
  </si>
  <si>
    <t>22식/월</t>
  </si>
  <si>
    <t>1.8식/월</t>
  </si>
  <si>
    <t>1회/년÷12개월</t>
  </si>
  <si>
    <t>1인×1회/년÷12개월</t>
  </si>
  <si>
    <t>4인×1회/년÷12개월</t>
  </si>
  <si>
    <t>1인×52회/년÷12개월</t>
  </si>
  <si>
    <t>2회선/월</t>
  </si>
  <si>
    <t>1회선/월</t>
  </si>
  <si>
    <t>1식</t>
  </si>
  <si>
    <t>1회/년×1개소</t>
  </si>
  <si>
    <t>1회×4개소÷3년</t>
  </si>
  <si>
    <t>1회/2년×4개소</t>
  </si>
  <si>
    <t>12회/년×4개소</t>
  </si>
  <si>
    <t>1회×12개월</t>
  </si>
  <si>
    <t>4대×12개월</t>
  </si>
  <si>
    <t>1대×12개월</t>
  </si>
  <si>
    <t>5대×약 200ℓ/월×12개월</t>
  </si>
  <si>
    <t>5식</t>
  </si>
  <si>
    <t>4집하장×12개월</t>
  </si>
  <si>
    <t>1개소×12개월
(제1집하장 시상수 D40)</t>
  </si>
  <si>
    <t>3개소×12개월
(제2-4집하장 시상수 D32)</t>
  </si>
  <si>
    <t>450㎥/h×4개소×12개월</t>
  </si>
  <si>
    <t>450㎥/월×4개소×12개월</t>
  </si>
  <si>
    <t>450㎥(월평균)×12개월</t>
  </si>
  <si>
    <t>설계내역서</t>
    <phoneticPr fontId="3" type="noConversion"/>
  </si>
  <si>
    <t>파          주          시</t>
    <phoneticPr fontId="3" type="noConversion"/>
  </si>
  <si>
    <t>환경시설과</t>
    <phoneticPr fontId="3" type="noConversion"/>
  </si>
  <si>
    <t>설  계  설  명  서</t>
    <phoneticPr fontId="3" type="noConversion"/>
  </si>
  <si>
    <t>1.사업명:</t>
  </si>
  <si>
    <t>2.사업위치:</t>
  </si>
  <si>
    <t>3.사업목적:</t>
  </si>
  <si>
    <t>4.사업개요:</t>
  </si>
  <si>
    <t>5.과업수행방법:</t>
  </si>
  <si>
    <t xml:space="preserve"> -1차계약분:</t>
    <phoneticPr fontId="3" type="noConversion"/>
  </si>
  <si>
    <t xml:space="preserve"> -3차계약분:</t>
    <phoneticPr fontId="3" type="noConversion"/>
  </si>
  <si>
    <t>&lt;총괄원가내역서&gt;</t>
    <phoneticPr fontId="63" type="noConversion"/>
  </si>
  <si>
    <t>단위 : 원/년</t>
    <phoneticPr fontId="6" type="noConversion"/>
  </si>
  <si>
    <t>합 계</t>
    <phoneticPr fontId="63" type="noConversion"/>
  </si>
  <si>
    <t>비  고</t>
    <phoneticPr fontId="6" type="noConversion"/>
  </si>
  <si>
    <t>금    액</t>
    <phoneticPr fontId="6" type="noConversion"/>
  </si>
  <si>
    <t>금   액</t>
    <phoneticPr fontId="6" type="noConversion"/>
  </si>
  <si>
    <t>설계</t>
    <phoneticPr fontId="3" type="noConversion"/>
  </si>
  <si>
    <t>검산</t>
    <phoneticPr fontId="3" type="noConversion"/>
  </si>
  <si>
    <t>심사</t>
    <phoneticPr fontId="3" type="noConversion"/>
  </si>
  <si>
    <t>팀장</t>
    <phoneticPr fontId="3" type="noConversion"/>
  </si>
  <si>
    <t>과장</t>
    <phoneticPr fontId="3" type="noConversion"/>
  </si>
  <si>
    <t>위치</t>
    <phoneticPr fontId="3" type="noConversion"/>
  </si>
  <si>
    <t>사업개요 :</t>
  </si>
  <si>
    <t>◆</t>
    <phoneticPr fontId="3" type="noConversion"/>
  </si>
  <si>
    <t>전체분(3년간)</t>
    <phoneticPr fontId="3" type="noConversion"/>
  </si>
  <si>
    <t>:</t>
    <phoneticPr fontId="3" type="noConversion"/>
  </si>
  <si>
    <t>제목</t>
    <phoneticPr fontId="3" type="noConversion"/>
  </si>
  <si>
    <t>이윤(10%)</t>
  </si>
  <si>
    <t>운 영 관 리 용 역 예 정 원 가 예 산 서</t>
    <phoneticPr fontId="10" type="noConversion"/>
  </si>
  <si>
    <t>파주시 운정신도시 자동집하시설을 운영관리함으로서 생활폐기물을 안정적으로 처리하는데 그 목적이 있음.</t>
    <phoneticPr fontId="3" type="noConversion"/>
  </si>
  <si>
    <t>파주시 운정신도시 집하장(가람집하장, 산내집하장, 한울집하장, 한빛집하장)</t>
    <phoneticPr fontId="3" type="noConversion"/>
  </si>
  <si>
    <t>단위 : 원/년</t>
    <phoneticPr fontId="6" type="noConversion"/>
  </si>
  <si>
    <t>원가계산기준</t>
    <phoneticPr fontId="3" type="noConversion"/>
  </si>
  <si>
    <t>차액
(원가-계약)</t>
    <phoneticPr fontId="3" type="noConversion"/>
  </si>
  <si>
    <t>고   정   비</t>
    <phoneticPr fontId="3" type="noConversion"/>
  </si>
  <si>
    <t>기       본       급</t>
    <phoneticPr fontId="6" type="noConversion"/>
  </si>
  <si>
    <t>고 정 경 비</t>
    <phoneticPr fontId="6" type="noConversion"/>
  </si>
  <si>
    <t>보
험
료</t>
    <phoneticPr fontId="3" type="noConversion"/>
  </si>
  <si>
    <t>국민연금</t>
    <phoneticPr fontId="3" type="noConversion"/>
  </si>
  <si>
    <t>임금채권보장보험료</t>
    <phoneticPr fontId="3" type="noConversion"/>
  </si>
  <si>
    <t>인건비+보험료</t>
    <phoneticPr fontId="3" type="noConversion"/>
  </si>
  <si>
    <t>계약금액기준(보험료 포함)</t>
    <phoneticPr fontId="3" type="noConversion"/>
  </si>
  <si>
    <t>낙찰율적용</t>
    <phoneticPr fontId="3" type="noConversion"/>
  </si>
  <si>
    <t>고정경비(보험료제외)</t>
    <phoneticPr fontId="3" type="noConversion"/>
  </si>
  <si>
    <t>계약금액기준(보험료 미포함)</t>
    <phoneticPr fontId="3" type="noConversion"/>
  </si>
  <si>
    <t>용역원가×10%</t>
    <phoneticPr fontId="3" type="noConversion"/>
  </si>
  <si>
    <t>고정비 운영원가</t>
    <phoneticPr fontId="3" type="noConversion"/>
  </si>
  <si>
    <t>변  동  비</t>
    <phoneticPr fontId="3" type="noConversion"/>
  </si>
  <si>
    <t>신규</t>
    <phoneticPr fontId="3" type="noConversion"/>
  </si>
  <si>
    <t>용역원가</t>
    <phoneticPr fontId="3" type="noConversion"/>
  </si>
  <si>
    <t>변동경비</t>
    <phoneticPr fontId="3" type="noConversion"/>
  </si>
  <si>
    <t>변동비 운영원가</t>
    <phoneticPr fontId="3" type="noConversion"/>
  </si>
  <si>
    <t>총계</t>
    <phoneticPr fontId="3" type="noConversion"/>
  </si>
  <si>
    <t>고정비운영원가+변동비운영원가</t>
    <phoneticPr fontId="3" type="noConversion"/>
  </si>
  <si>
    <t>주 : 신규계약 예정금액에는 4개의 각 집하장에 모여진 일반생활폐기물 및 음식물폐기물을 소각장으로 운반하는 업무가 추가된 상태임</t>
    <phoneticPr fontId="3" type="noConversion"/>
  </si>
  <si>
    <t>전기대비 용역원가비교표</t>
    <phoneticPr fontId="6" type="noConversion"/>
  </si>
  <si>
    <t xml:space="preserve">     (현재는 생활폐기물 수집운반업체인 ㈜엠에스환경에서 자동집하시설 수송업무를 대행중임)</t>
    <phoneticPr fontId="3" type="noConversion"/>
  </si>
  <si>
    <t>사업명 : 파주시 운정신도시 생활폐기물 자동집하시설 운영관리 용역(총괄)</t>
    <phoneticPr fontId="6" type="noConversion"/>
  </si>
  <si>
    <t>6.총용역기간:</t>
    <phoneticPr fontId="3" type="noConversion"/>
  </si>
  <si>
    <t>1차년도</t>
    <phoneticPr fontId="3" type="noConversion"/>
  </si>
  <si>
    <t>2차년도</t>
    <phoneticPr fontId="3" type="noConversion"/>
  </si>
  <si>
    <t>3차년도</t>
    <phoneticPr fontId="3" type="noConversion"/>
  </si>
  <si>
    <t xml:space="preserve"> -2차계약분:</t>
    <phoneticPr fontId="3" type="noConversion"/>
  </si>
  <si>
    <t>파주시 운정 자동집하시설 운영비용 원가산정용역</t>
    <phoneticPr fontId="3" type="noConversion"/>
  </si>
  <si>
    <t>과업지시서에 준함.</t>
    <phoneticPr fontId="3" type="noConversion"/>
  </si>
  <si>
    <t>2023년 2월 15일 ~ 2023년 07월14일(3년)</t>
    <phoneticPr fontId="3" type="noConversion"/>
  </si>
  <si>
    <t>엔지니어링 기술자 등급별 일 노임단가(한국엔지니어링협회, 2023.01.01 시행)</t>
    <phoneticPr fontId="3" type="noConversion"/>
  </si>
  <si>
    <t>주) 엔지니어링 기술자 등급별 일 노임단가(한국엔지니어링협회, 2023.01.01 시행)</t>
    <phoneticPr fontId="10" type="noConversion"/>
  </si>
  <si>
    <t>근무일수(일)</t>
    <phoneticPr fontId="3" type="noConversion"/>
  </si>
  <si>
    <t>(보헙료의 납부의무) 직장가입자의 보험료는 다음 각 호의 구분에 따라 그 각 호에서 정한 자가 납부한다.
  1. 보수월액보험료: 사용자. 이 경우 사업장의 사용자가 2명 이상인 때에는 그 사업장의 사용자는
   해당 직장가입자의 보험료를 연대하여 납부한다.
  2. 소득월액보험료: 직장가입자
   국민건강보험법 시행령 제44조에 의한 보험요율의 표준보수월액의7.09%(사용자부담 50%,근로자부담 50%)</t>
    <phoneticPr fontId="3" type="noConversion"/>
  </si>
  <si>
    <t>주) 엔지니어링 기술자 등급별 일 노임단가(한국엔지니어링협회 정책연구실-377호, 2022.12.12발표, 2023.01.01 시행)</t>
    <phoneticPr fontId="3" type="noConversion"/>
  </si>
  <si>
    <t>단순노무종사원</t>
    <phoneticPr fontId="3" type="noConversion"/>
  </si>
  <si>
    <t>일급×20.6일</t>
    <phoneticPr fontId="3" type="noConversion"/>
  </si>
  <si>
    <t>(기본급+제수당+상여금)×1.15%</t>
    <phoneticPr fontId="3" type="noConversion"/>
  </si>
  <si>
    <t>(기본급+제수당+상여금)×3.545%</t>
    <phoneticPr fontId="3" type="noConversion"/>
  </si>
  <si>
    <t>산출건강보험료 × 12.81%</t>
    <phoneticPr fontId="3" type="noConversion"/>
  </si>
  <si>
    <t>(기본급+제수당+상여금)×0.004%</t>
    <phoneticPr fontId="3" type="noConversion"/>
  </si>
  <si>
    <t>주휴수당</t>
    <phoneticPr fontId="3" type="noConversion"/>
  </si>
  <si>
    <t>예정가격 작성요령 제4관
 4.인건비</t>
    <phoneticPr fontId="3" type="noConversion"/>
  </si>
  <si>
    <t xml:space="preserve">  2023년 7 월    일   설계</t>
    <phoneticPr fontId="3" type="noConversion"/>
  </si>
  <si>
    <t>2023년도 사업종류별 산재보험료율 고시</t>
  </si>
  <si>
    <r>
      <t>고용노동부고시</t>
    </r>
    <r>
      <rPr>
        <sz val="11"/>
        <color rgb="FF000000"/>
        <rFont val="돋움"/>
        <family val="3"/>
        <charset val="129"/>
      </rPr>
      <t xml:space="preserve"> </t>
    </r>
    <r>
      <rPr>
        <sz val="11"/>
        <color rgb="FF000000"/>
        <rFont val="바탕체"/>
        <family val="1"/>
        <charset val="129"/>
      </rPr>
      <t>제2022-82호</t>
    </r>
  </si>
  <si>
    <t>고 용 노 동 부 장 관</t>
  </si>
  <si>
    <r>
      <t>[</t>
    </r>
    <r>
      <rPr>
        <sz val="11"/>
        <color rgb="FF000000"/>
        <rFont val="휴먼명조"/>
        <family val="3"/>
        <charset val="129"/>
      </rPr>
      <t>별지</t>
    </r>
    <r>
      <rPr>
        <sz val="11"/>
        <color rgb="FF000000"/>
        <rFont val="HCI Poppy"/>
        <family val="2"/>
      </rPr>
      <t>]</t>
    </r>
  </si>
  <si>
    <r>
      <t>1. 2023</t>
    </r>
    <r>
      <rPr>
        <sz val="11"/>
        <color rgb="FF000000"/>
        <rFont val="휴먼명조"/>
        <family val="3"/>
        <charset val="129"/>
      </rPr>
      <t>년도 사업종류별 산재보험료율</t>
    </r>
  </si>
  <si>
    <r>
      <t>(</t>
    </r>
    <r>
      <rPr>
        <sz val="11"/>
        <color rgb="FF000000"/>
        <rFont val="함초롬바탕"/>
        <family val="1"/>
        <charset val="129"/>
      </rPr>
      <t>단위</t>
    </r>
    <r>
      <rPr>
        <sz val="11"/>
        <color rgb="FF000000"/>
        <rFont val="HCI Poppy"/>
        <family val="2"/>
      </rPr>
      <t xml:space="preserve">: </t>
    </r>
    <r>
      <rPr>
        <sz val="11"/>
        <color rgb="FF000000"/>
        <rFont val="함초롬바탕"/>
        <family val="1"/>
        <charset val="129"/>
      </rPr>
      <t>천분율</t>
    </r>
    <r>
      <rPr>
        <sz val="11"/>
        <color rgb="FF000000"/>
        <rFont val="HCI Poppy"/>
        <family val="2"/>
      </rPr>
      <t>(</t>
    </r>
    <r>
      <rPr>
        <sz val="11"/>
        <color rgb="FF000000"/>
        <rFont val="함초롬바탕"/>
        <family val="1"/>
        <charset val="129"/>
      </rPr>
      <t>‰</t>
    </r>
    <r>
      <rPr>
        <sz val="11"/>
        <color rgb="FF000000"/>
        <rFont val="HCI Poppy"/>
        <family val="2"/>
      </rPr>
      <t>))</t>
    </r>
  </si>
  <si>
    <t>사 업 종 류</t>
  </si>
  <si>
    <r>
      <t xml:space="preserve">5. </t>
    </r>
    <r>
      <rPr>
        <b/>
        <sz val="11"/>
        <color rgb="FF000000"/>
        <rFont val="KoPub돋움체 Light"/>
        <family val="3"/>
        <charset val="129"/>
      </rPr>
      <t>운수</t>
    </r>
    <r>
      <rPr>
        <b/>
        <sz val="11"/>
        <color rgb="FF000000"/>
        <rFont val="돋움"/>
        <family val="3"/>
        <charset val="129"/>
      </rPr>
      <t>·</t>
    </r>
    <r>
      <rPr>
        <b/>
        <sz val="11"/>
        <color rgb="FF000000"/>
        <rFont val="KoPub돋움체 Light"/>
        <family val="3"/>
        <charset val="129"/>
      </rPr>
      <t>창고</t>
    </r>
    <r>
      <rPr>
        <b/>
        <sz val="11"/>
        <color rgb="FF000000"/>
        <rFont val="돋움"/>
        <family val="3"/>
        <charset val="129"/>
      </rPr>
      <t>·</t>
    </r>
    <r>
      <rPr>
        <b/>
        <sz val="11"/>
        <color rgb="FF000000"/>
        <rFont val="KoPub돋움체 Light"/>
        <family val="3"/>
        <charset val="129"/>
      </rPr>
      <t>통신업</t>
    </r>
  </si>
  <si>
    <t>석회석·금속·비금속ㆍ기타광업</t>
  </si>
  <si>
    <r>
      <t>철도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항공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창고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운수관련서비스업</t>
    </r>
  </si>
  <si>
    <t>육상 및 수상운수업</t>
  </si>
  <si>
    <t>식료품 제조업</t>
  </si>
  <si>
    <t>통신업</t>
  </si>
  <si>
    <t>섬유 및 섬유제품 제조업</t>
  </si>
  <si>
    <t>목재 및 종이제품 제조업</t>
  </si>
  <si>
    <t>출판ㆍ인쇄ㆍ제본업</t>
  </si>
  <si>
    <t>화학 및 고무제품 제조업</t>
  </si>
  <si>
    <r>
      <t>의약품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화장품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연탄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석유제품 제조업</t>
    </r>
  </si>
  <si>
    <t>시설관리 및 사업지원 서비스업</t>
  </si>
  <si>
    <r>
      <t>기계기구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금속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비금속광물제품 제조업</t>
    </r>
  </si>
  <si>
    <t xml:space="preserve">금속제련업 </t>
  </si>
  <si>
    <t>전문·보건·교육·여가관련 서비스업</t>
  </si>
  <si>
    <r>
      <t>전기기계기구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정밀기구</t>
    </r>
    <r>
      <rPr>
        <sz val="11"/>
        <color rgb="FF000000"/>
        <rFont val="돋움"/>
        <family val="3"/>
        <charset val="129"/>
      </rPr>
      <t>·</t>
    </r>
    <r>
      <rPr>
        <sz val="11"/>
        <color rgb="FF000000"/>
        <rFont val="KoPub돋움체 Light"/>
        <family val="3"/>
        <charset val="129"/>
      </rPr>
      <t>전자제품 제조업</t>
    </r>
  </si>
  <si>
    <t>도소매·음식·숙박업</t>
  </si>
  <si>
    <t xml:space="preserve">선박건조 및 수리업 </t>
  </si>
  <si>
    <t>부동산 및 임대업</t>
  </si>
  <si>
    <t>수제품 및 기타제품 제조업</t>
  </si>
  <si>
    <t>3. 전기ㆍ가스ㆍ증기ㆍ수도사업</t>
  </si>
  <si>
    <t xml:space="preserve">* 해외파견자: 14/1,000 </t>
  </si>
  <si>
    <r>
      <t>2.</t>
    </r>
    <r>
      <rPr>
        <sz val="11"/>
        <color rgb="FF000000"/>
        <rFont val="돋움"/>
        <family val="3"/>
        <charset val="129"/>
      </rPr>
      <t xml:space="preserve"> </t>
    </r>
    <r>
      <rPr>
        <sz val="11"/>
        <color rgb="FF000000"/>
        <rFont val="HCI Poppy"/>
        <family val="2"/>
      </rPr>
      <t>2023</t>
    </r>
    <r>
      <rPr>
        <sz val="11"/>
        <color rgb="FF000000"/>
        <rFont val="함초롬바탕"/>
        <family val="1"/>
        <charset val="129"/>
      </rPr>
      <t>년도 통상적인 경로와 방법으로 출퇴근하는 중 발생한 재해에 관한 산재 보험료율</t>
    </r>
    <r>
      <rPr>
        <sz val="11"/>
        <color rgb="FF000000"/>
        <rFont val="HCI Poppy"/>
        <family val="2"/>
      </rPr>
      <t xml:space="preserve">: </t>
    </r>
    <r>
      <rPr>
        <sz val="11"/>
        <color rgb="FF000000"/>
        <rFont val="함초롬바탕"/>
        <family val="1"/>
        <charset val="129"/>
      </rPr>
      <t xml:space="preserve">전 업종 </t>
    </r>
    <r>
      <rPr>
        <sz val="11"/>
        <color rgb="FF000000"/>
        <rFont val="HCI Poppy"/>
        <family val="2"/>
      </rPr>
      <t xml:space="preserve">1.0/1,000 </t>
    </r>
    <r>
      <rPr>
        <sz val="11"/>
        <color rgb="FF000000"/>
        <rFont val="함초롬바탕"/>
        <family val="1"/>
        <charset val="129"/>
      </rPr>
      <t>동일</t>
    </r>
  </si>
  <si>
    <r>
      <t xml:space="preserve">* </t>
    </r>
    <r>
      <rPr>
        <sz val="11"/>
        <color rgb="FF000000"/>
        <rFont val="함초롬바탕"/>
        <family val="1"/>
        <charset val="129"/>
      </rPr>
      <t>사업종류의 세목과 내용예시 및 총칙을 규정한 사업종류 예시표는 고용노동부 홈페이지</t>
    </r>
    <r>
      <rPr>
        <sz val="11"/>
        <color rgb="FF000000"/>
        <rFont val="HCI Poppy"/>
        <family val="2"/>
      </rPr>
      <t>(www.moel.go.kr)</t>
    </r>
    <r>
      <rPr>
        <sz val="11"/>
        <color rgb="FF000000"/>
        <rFont val="돋움"/>
        <family val="3"/>
        <charset val="129"/>
      </rPr>
      <t xml:space="preserve"> </t>
    </r>
    <r>
      <rPr>
        <sz val="11"/>
        <color rgb="FF000000"/>
        <rFont val="함초롬바탕"/>
        <family val="1"/>
        <charset val="129"/>
      </rPr>
      <t>정보공개</t>
    </r>
    <r>
      <rPr>
        <sz val="11"/>
        <color rgb="FF000000"/>
        <rFont val="HCI Poppy"/>
        <family val="2"/>
      </rPr>
      <t>-</t>
    </r>
    <r>
      <rPr>
        <sz val="11"/>
        <color rgb="FF000000"/>
        <rFont val="함초롬바탕"/>
        <family val="1"/>
        <charset val="129"/>
      </rPr>
      <t>법령정보</t>
    </r>
    <r>
      <rPr>
        <sz val="11"/>
        <color rgb="FF000000"/>
        <rFont val="HCI Poppy"/>
        <family val="2"/>
      </rPr>
      <t>-</t>
    </r>
    <r>
      <rPr>
        <sz val="11"/>
        <color rgb="FF000000"/>
        <rFont val="함초롬바탕"/>
        <family val="1"/>
        <charset val="129"/>
      </rPr>
      <t>훈령</t>
    </r>
    <r>
      <rPr>
        <sz val="11"/>
        <color rgb="FF000000"/>
        <rFont val="HCI Poppy"/>
        <family val="2"/>
      </rPr>
      <t>·</t>
    </r>
    <r>
      <rPr>
        <sz val="11"/>
        <color rgb="FF000000"/>
        <rFont val="함초롬바탕"/>
        <family val="1"/>
        <charset val="129"/>
      </rPr>
      <t>예규</t>
    </r>
    <r>
      <rPr>
        <sz val="11"/>
        <color rgb="FF000000"/>
        <rFont val="HCI Poppy"/>
        <family val="2"/>
      </rPr>
      <t>·</t>
    </r>
    <r>
      <rPr>
        <sz val="11"/>
        <color rgb="FF000000"/>
        <rFont val="함초롬바탕"/>
        <family val="1"/>
        <charset val="129"/>
      </rPr>
      <t>고시란과 근로복지공단 홈페이지</t>
    </r>
    <r>
      <rPr>
        <sz val="11"/>
        <color rgb="FF000000"/>
        <rFont val="HCI Poppy"/>
        <family val="2"/>
      </rPr>
      <t xml:space="preserve">(www.comwel.or.kr) </t>
    </r>
    <r>
      <rPr>
        <sz val="11"/>
        <color rgb="FF000000"/>
        <rFont val="함초롬바탕"/>
        <family val="1"/>
        <charset val="129"/>
      </rPr>
      <t>가입</t>
    </r>
    <r>
      <rPr>
        <sz val="11"/>
        <color rgb="FF000000"/>
        <rFont val="HCI Poppy"/>
        <family val="2"/>
      </rPr>
      <t>·</t>
    </r>
    <r>
      <rPr>
        <sz val="11"/>
        <color rgb="FF000000"/>
        <rFont val="함초롬바탕"/>
        <family val="1"/>
        <charset val="129"/>
      </rPr>
      <t>납부서비스</t>
    </r>
    <r>
      <rPr>
        <sz val="11"/>
        <color rgb="FF000000"/>
        <rFont val="HCI Poppy"/>
        <family val="2"/>
      </rPr>
      <t>-</t>
    </r>
    <r>
      <rPr>
        <sz val="11"/>
        <color rgb="FF000000"/>
        <rFont val="함초롬바탕"/>
        <family val="1"/>
        <charset val="129"/>
      </rPr>
      <t>보험료</t>
    </r>
    <r>
      <rPr>
        <sz val="11"/>
        <color rgb="FF000000"/>
        <rFont val="돋움"/>
        <family val="3"/>
        <charset val="129"/>
      </rPr>
      <t xml:space="preserve"> </t>
    </r>
    <r>
      <rPr>
        <sz val="11"/>
        <color rgb="FF000000"/>
        <rFont val="함초롬바탕"/>
        <family val="1"/>
        <charset val="129"/>
      </rPr>
      <t>신고 및 납부</t>
    </r>
    <r>
      <rPr>
        <sz val="11"/>
        <color rgb="FF000000"/>
        <rFont val="HCI Poppy"/>
        <family val="2"/>
      </rPr>
      <t>-</t>
    </r>
    <r>
      <rPr>
        <sz val="11"/>
        <color rgb="FF000000"/>
        <rFont val="함초롬바탕"/>
        <family val="1"/>
        <charset val="129"/>
      </rPr>
      <t>보험료율</t>
    </r>
    <r>
      <rPr>
        <sz val="11"/>
        <color rgb="FF000000"/>
        <rFont val="HCI Poppy"/>
        <family val="2"/>
      </rPr>
      <t>-</t>
    </r>
    <r>
      <rPr>
        <sz val="11"/>
        <color rgb="FF000000"/>
        <rFont val="함초롬바탕"/>
        <family val="1"/>
        <charset val="129"/>
      </rPr>
      <t>연도별 산재보험료율표에 게재</t>
    </r>
  </si>
  <si>
    <t>주) 고용노동부고시 제2022-82호(2022.12.29.) : (9.기타의 사업 _ 출퇴근 0.1% + 시설관리 및 사업지원 서비스업 0.8%)</t>
  </si>
  <si>
    <t>2024년(1차분)</t>
    <phoneticPr fontId="63" type="noConversion"/>
  </si>
  <si>
    <t>2025년(2차분)</t>
    <phoneticPr fontId="63" type="noConversion"/>
  </si>
  <si>
    <t>2026년(3차분)</t>
    <phoneticPr fontId="63" type="noConversion"/>
  </si>
  <si>
    <t>1인×4회/년÷12개월
 [ 표 : 26 ] 참조</t>
    <phoneticPr fontId="3" type="noConversion"/>
  </si>
  <si>
    <t>기술자 등급</t>
  </si>
  <si>
    <t>분포율(%)</t>
  </si>
  <si>
    <t>비 고</t>
  </si>
  <si>
    <t>기술사·특급기술자</t>
  </si>
  <si>
    <t xml:space="preserve">엔지니어링기술부문별 </t>
  </si>
  <si>
    <t>기술자 노임단가 적용</t>
  </si>
  <si>
    <t>기 타</t>
  </si>
  <si>
    <t>정부 노임단가 적용</t>
  </si>
  <si>
    <t>적용</t>
    <phoneticPr fontId="3" type="noConversion"/>
  </si>
  <si>
    <t>하수도시설 운영인력 기술등급 산정기준 적용</t>
    <phoneticPr fontId="3" type="noConversion"/>
  </si>
  <si>
    <t>엔지니어링기술자 등급별 일급(분개)단가표</t>
  </si>
  <si>
    <t>(단위 : 원)</t>
  </si>
  <si>
    <t>구분</t>
  </si>
  <si>
    <t>M/D당 임률(2023년)</t>
  </si>
  <si>
    <t>일급(분개)단가</t>
  </si>
  <si>
    <t>비고</t>
  </si>
  <si>
    <t>엔지니어링기술자
평균임금(환경)</t>
  </si>
  <si>
    <t>단순노무종사원주1)</t>
  </si>
  <si>
    <t>중소기업중앙회</t>
  </si>
  <si>
    <t>주 1) 중소기업중앙회 : 본 평균 조사노임(일급)의 적용시점 : 2023. 1. 1.</t>
  </si>
  <si>
    <t>엔지니어링기술자(주간) 등급별 일급(분개)단가</t>
    <phoneticPr fontId="96" type="noConversion"/>
  </si>
  <si>
    <t>(단위 : 원)</t>
    <phoneticPr fontId="96" type="noConversion"/>
  </si>
  <si>
    <t>비목</t>
    <phoneticPr fontId="96" type="noConversion"/>
  </si>
  <si>
    <t>금액</t>
    <phoneticPr fontId="96" type="noConversion"/>
  </si>
  <si>
    <t>산출기초</t>
    <phoneticPr fontId="96" type="noConversion"/>
  </si>
  <si>
    <t>기술사</t>
    <phoneticPr fontId="96" type="noConversion"/>
  </si>
  <si>
    <t>통상임금(시간급)</t>
    <phoneticPr fontId="96" type="noConversion"/>
  </si>
  <si>
    <r>
      <t>* 통상임금 : (기본급+주휴수당+상여금)</t>
    </r>
    <r>
      <rPr>
        <sz val="10"/>
        <color theme="1" tint="0.499984740745262"/>
        <rFont val="맑은 고딕"/>
        <family val="3"/>
        <charset val="129"/>
      </rPr>
      <t>÷</t>
    </r>
    <r>
      <rPr>
        <sz val="10"/>
        <color theme="1" tint="0.499984740745262"/>
        <rFont val="바탕체"/>
        <family val="1"/>
        <charset val="129"/>
      </rPr>
      <t>209시간</t>
    </r>
    <phoneticPr fontId="96" type="noConversion"/>
  </si>
  <si>
    <t>209시간≒208.56</t>
    <phoneticPr fontId="96" type="noConversion"/>
  </si>
  <si>
    <t>1주:48시간=주근무시간(40시간)+주휴시간(8시간)</t>
    <phoneticPr fontId="96" type="noConversion"/>
  </si>
  <si>
    <t>1주=52주/12개월</t>
    <phoneticPr fontId="96" type="noConversion"/>
  </si>
  <si>
    <t>1. 기본급</t>
    <phoneticPr fontId="96" type="noConversion"/>
  </si>
  <si>
    <t>원</t>
    <phoneticPr fontId="96" type="noConversion"/>
  </si>
  <si>
    <t>Ｘ</t>
    <phoneticPr fontId="96" type="noConversion"/>
  </si>
  <si>
    <t>일</t>
    <phoneticPr fontId="96" type="noConversion"/>
  </si>
  <si>
    <t>근로기준법55조(휴일)</t>
    <phoneticPr fontId="96" type="noConversion"/>
  </si>
  <si>
    <t>2. 제수당</t>
    <phoneticPr fontId="96" type="noConversion"/>
  </si>
  <si>
    <t>ㄱ.주휴수당</t>
    <phoneticPr fontId="96" type="noConversion"/>
  </si>
  <si>
    <t>÷</t>
    <phoneticPr fontId="96" type="noConversion"/>
  </si>
  <si>
    <t>개월</t>
    <phoneticPr fontId="96" type="noConversion"/>
  </si>
  <si>
    <t>1월=4.35주=365일/7일/12개월</t>
    <phoneticPr fontId="96" type="noConversion"/>
  </si>
  <si>
    <t>근로기준법55조(휴일) / 시행령30조(휴일)</t>
    <phoneticPr fontId="96" type="noConversion"/>
  </si>
  <si>
    <t>ㄴ.연차수당</t>
    <phoneticPr fontId="96" type="noConversion"/>
  </si>
  <si>
    <t>근로기준법60조(연차유급휴가)</t>
    <phoneticPr fontId="96" type="noConversion"/>
  </si>
  <si>
    <t>3. 상여금</t>
    <phoneticPr fontId="96" type="noConversion"/>
  </si>
  <si>
    <t>%</t>
    <phoneticPr fontId="96" type="noConversion"/>
  </si>
  <si>
    <t>4. 퇴직급여충당금</t>
    <phoneticPr fontId="96" type="noConversion"/>
  </si>
  <si>
    <r>
      <t xml:space="preserve">(기본급+제수당+상여금) </t>
    </r>
    <r>
      <rPr>
        <sz val="10"/>
        <color theme="1" tint="0.499984740745262"/>
        <rFont val="맑은 고딕"/>
        <family val="3"/>
        <charset val="129"/>
      </rPr>
      <t>÷</t>
    </r>
    <r>
      <rPr>
        <sz val="10"/>
        <color theme="1" tint="0.499984740745262"/>
        <rFont val="바탕체"/>
        <family val="1"/>
        <charset val="129"/>
      </rPr>
      <t xml:space="preserve"> 12개월</t>
    </r>
    <phoneticPr fontId="96" type="noConversion"/>
  </si>
  <si>
    <t>소계</t>
    <phoneticPr fontId="96" type="noConversion"/>
  </si>
  <si>
    <t>국민연금</t>
    <phoneticPr fontId="96" type="noConversion"/>
  </si>
  <si>
    <t>건강보험</t>
    <phoneticPr fontId="96" type="noConversion"/>
  </si>
  <si>
    <t>산재보험</t>
    <phoneticPr fontId="96" type="noConversion"/>
  </si>
  <si>
    <t>고용보험</t>
    <phoneticPr fontId="96" type="noConversion"/>
  </si>
  <si>
    <t>고용안정사업 및 직업능력개발사업 (150인 미만기업 적용)</t>
    <phoneticPr fontId="96" type="noConversion"/>
  </si>
  <si>
    <t>장기요양보험</t>
    <phoneticPr fontId="96" type="noConversion"/>
  </si>
  <si>
    <t>임금채권보장 부담금</t>
    <phoneticPr fontId="96" type="noConversion"/>
  </si>
  <si>
    <t>석면피해구제 분담금</t>
    <phoneticPr fontId="96" type="noConversion"/>
  </si>
  <si>
    <t>보험료 계</t>
    <phoneticPr fontId="96" type="noConversion"/>
  </si>
  <si>
    <t>월계</t>
    <phoneticPr fontId="96" type="noConversion"/>
  </si>
  <si>
    <t>일 단가</t>
    <phoneticPr fontId="96" type="noConversion"/>
  </si>
  <si>
    <t>특급기술자</t>
    <phoneticPr fontId="96" type="noConversion"/>
  </si>
  <si>
    <t>기본급 만 수정</t>
    <phoneticPr fontId="96" type="noConversion"/>
  </si>
  <si>
    <r>
      <t>* 통상임금 : (기본급+주휴수당+상여금)</t>
    </r>
    <r>
      <rPr>
        <sz val="10"/>
        <color theme="1"/>
        <rFont val="맑은 고딕"/>
        <family val="3"/>
        <charset val="129"/>
      </rPr>
      <t>÷</t>
    </r>
    <r>
      <rPr>
        <sz val="10"/>
        <color theme="1"/>
        <rFont val="바탕체"/>
        <family val="1"/>
        <charset val="129"/>
      </rPr>
      <t>209시간</t>
    </r>
    <phoneticPr fontId="96" type="noConversion"/>
  </si>
  <si>
    <r>
      <t xml:space="preserve">(기본급+제수당+상여금) </t>
    </r>
    <r>
      <rPr>
        <sz val="10"/>
        <color theme="1"/>
        <rFont val="맑은 고딕"/>
        <family val="3"/>
        <charset val="129"/>
      </rPr>
      <t>÷</t>
    </r>
    <r>
      <rPr>
        <sz val="10"/>
        <color theme="1"/>
        <rFont val="바탕체"/>
        <family val="1"/>
        <charset val="129"/>
      </rPr>
      <t xml:space="preserve"> 12개월</t>
    </r>
    <phoneticPr fontId="96" type="noConversion"/>
  </si>
  <si>
    <t>인적보험료</t>
    <phoneticPr fontId="96" type="noConversion"/>
  </si>
  <si>
    <t>-</t>
    <phoneticPr fontId="96" type="noConversion"/>
  </si>
  <si>
    <t>=</t>
    <phoneticPr fontId="96" type="noConversion"/>
  </si>
  <si>
    <t>*</t>
    <phoneticPr fontId="96" type="noConversion"/>
  </si>
  <si>
    <t>12개월</t>
    <phoneticPr fontId="96" type="noConversion"/>
  </si>
  <si>
    <t>장기요양보험료</t>
    <phoneticPr fontId="96" type="noConversion"/>
  </si>
  <si>
    <t>고급기술자</t>
    <phoneticPr fontId="96" type="noConversion"/>
  </si>
  <si>
    <t>중급기술자</t>
    <phoneticPr fontId="96" type="noConversion"/>
  </si>
  <si>
    <t>초급기술자</t>
    <phoneticPr fontId="96" type="noConversion"/>
  </si>
  <si>
    <t>고급숙련기술자</t>
    <phoneticPr fontId="96" type="noConversion"/>
  </si>
  <si>
    <t>중급숙련기술자</t>
    <phoneticPr fontId="96" type="noConversion"/>
  </si>
  <si>
    <t>초급숙련기술자</t>
    <phoneticPr fontId="96" type="noConversion"/>
  </si>
  <si>
    <t>단순노무종사원</t>
    <phoneticPr fontId="96" type="noConversion"/>
  </si>
  <si>
    <t>특급~단순</t>
    <phoneticPr fontId="96" type="noConversion"/>
  </si>
  <si>
    <t>인건비</t>
    <phoneticPr fontId="96" type="noConversion"/>
  </si>
  <si>
    <t>보험료</t>
    <phoneticPr fontId="96" type="noConversion"/>
  </si>
  <si>
    <t>계</t>
    <phoneticPr fontId="96" type="noConversion"/>
  </si>
  <si>
    <t>(연차유급휴가) 사용자는 1년간 80퍼센트이상 출근한 근로자에 대하여는
 15일의 유급휴가를 주어야 한다.</t>
    <phoneticPr fontId="3" type="noConversion"/>
  </si>
  <si>
    <t>고용노동부 고시 제2022-82호(2022년 12월 29일)</t>
    <phoneticPr fontId="3" type="noConversion"/>
  </si>
  <si>
    <r>
      <t xml:space="preserve"> 시행령 제12조 법 제14조1항의 규정에 의한 고용보험료율은 다음 각호와 같다.
 1. 고용안정. 직업능력개발사업의 보험료율은 다음 각 목의 구분에 따른 보험료율
   가. 상시근로자수가 150명 미만인 사업주의 사업: 1만분의 25
   나. 상시근로자수가 150명 이상인 사업주의 사업으로서 「고용보험법 시행령」
       제12조에 따른 우선지원 대상기업의 범위에 해당하는 사업: 1만분의 45
   다. 상시근로자수가 150명 이상 1천명 미만인 사업주의 사업으로서 나목에
       해당하지 않는 사업: 1만분의 65
   라. 상시근로자수가 1천명 이상인 사업주의 사업으로서 나목에 해당하지 않는 
       사업 및 국가</t>
    </r>
    <r>
      <rPr>
        <sz val="10"/>
        <rFont val="Calibri"/>
        <family val="3"/>
      </rPr>
      <t>·</t>
    </r>
    <r>
      <rPr>
        <sz val="10"/>
        <rFont val="휴먼명조"/>
        <family val="3"/>
        <charset val="129"/>
      </rPr>
      <t>지방자치단체가 직접 하는 사업: 1만분의 85
 2. 실업급여의 보험율 : 1천분의 18(사업주 부담 0.9%)
 * 산출식 : 0.25%(고용안정.직업능력개발사업요율)+0.9%(실업급여의 보험율)</t>
    </r>
    <phoneticPr fontId="3" type="noConversion"/>
  </si>
  <si>
    <t>노인장기요양보험법 제9조 1항, 
 시행령 제4조</t>
    <phoneticPr fontId="3" type="noConversion"/>
  </si>
  <si>
    <t xml:space="preserve">(장기요양보험료율) 법 제9조제1항에 따른 장기요양보험료율은 100만분의9.082로 한다. </t>
    <phoneticPr fontId="3" type="noConversion"/>
  </si>
  <si>
    <t>임금채권보장법 제9조 2항
 시행령 제13조</t>
    <phoneticPr fontId="3" type="noConversion"/>
  </si>
  <si>
    <t>[시행 2023.1.1.] [고용노동부고시 제2022-94호, 2022.12.30, 일부개정]의 규정에 의하여 
 임금채권보장기금 사업주부담금비율은 보수총액의 1000분의 0.6(전업종공통)</t>
    <phoneticPr fontId="3" type="noConversion"/>
  </si>
  <si>
    <t>① 환경부장관은 이 법에 따른 구제급여의 지급 등에 드는 재원을 확보하기 위하여 다음 각 호의 자에 대하여 대통령령으로 정하는 바에 따라 석면피해구제분담금(이하 "분담금"이라 한다)을 징수하여 기금에 납입하여야 한다.
1. 2023년도 석면피해구제분담금률 : 10만분의 4[시행 2023.1.1.] [환경부고시 제2022-211호, 2022.10.31]</t>
    <phoneticPr fontId="3" type="noConversion"/>
  </si>
  <si>
    <t>고급기술자</t>
    <phoneticPr fontId="3" type="noConversion"/>
  </si>
  <si>
    <t>운반팀</t>
    <phoneticPr fontId="3" type="noConversion"/>
  </si>
  <si>
    <t>기계팀장</t>
    <phoneticPr fontId="3" type="noConversion"/>
  </si>
  <si>
    <t>전기담당</t>
    <phoneticPr fontId="3" type="noConversion"/>
  </si>
  <si>
    <t>중급숙련기술자</t>
    <phoneticPr fontId="3" type="noConversion"/>
  </si>
  <si>
    <t>초급숙련기술자</t>
    <phoneticPr fontId="3" type="noConversion"/>
  </si>
  <si>
    <t>기계담당</t>
    <phoneticPr fontId="3" type="noConversion"/>
  </si>
  <si>
    <t>2023년 상반기 용역기간현황표</t>
    <phoneticPr fontId="3" type="noConversion"/>
  </si>
  <si>
    <t>* 기간 : 2023년 1월 1일 ~ 2023년 6월 30일(6개월)</t>
    <phoneticPr fontId="3" type="noConversion"/>
  </si>
  <si>
    <t>2023년</t>
    <phoneticPr fontId="3" type="noConversion"/>
  </si>
  <si>
    <t>※ 2023년 상반기 표준작업시간 구하기</t>
    <phoneticPr fontId="34" type="noConversion"/>
  </si>
  <si>
    <t xml:space="preserve"> * 상기 기준에 의해 표준시간을 도출하면 근로가능한 124일을 1일 8시간 기준으로 환산하여 </t>
    <phoneticPr fontId="34" type="noConversion"/>
  </si>
  <si>
    <t xml:space="preserve">   총 992시간이 산출되어짐</t>
    <phoneticPr fontId="3" type="noConversion"/>
  </si>
  <si>
    <t>2023년 기준</t>
    <phoneticPr fontId="34" type="noConversion"/>
  </si>
  <si>
    <t>2021년 기준</t>
    <phoneticPr fontId="34" type="noConversion"/>
  </si>
  <si>
    <t>12/28~1/3</t>
    <phoneticPr fontId="34" type="noConversion"/>
  </si>
  <si>
    <t>1/4~1/10</t>
    <phoneticPr fontId="34" type="noConversion"/>
  </si>
  <si>
    <t>1/11~1/17</t>
    <phoneticPr fontId="34" type="noConversion"/>
  </si>
  <si>
    <t>1/18~1/24</t>
    <phoneticPr fontId="34" type="noConversion"/>
  </si>
  <si>
    <t>1/25~1/31</t>
    <phoneticPr fontId="34" type="noConversion"/>
  </si>
  <si>
    <t>2/1~2/7</t>
    <phoneticPr fontId="34" type="noConversion"/>
  </si>
  <si>
    <t>2/8~2/14</t>
    <phoneticPr fontId="34" type="noConversion"/>
  </si>
  <si>
    <t>2/15~2/21</t>
    <phoneticPr fontId="34" type="noConversion"/>
  </si>
  <si>
    <t>2/22~2/28</t>
    <phoneticPr fontId="34" type="noConversion"/>
  </si>
  <si>
    <t>3/1~3/7</t>
    <phoneticPr fontId="34" type="noConversion"/>
  </si>
  <si>
    <t>3/8~3/14</t>
    <phoneticPr fontId="34" type="noConversion"/>
  </si>
  <si>
    <t>3/15~3/21</t>
    <phoneticPr fontId="34" type="noConversion"/>
  </si>
  <si>
    <t>3/22~3/28</t>
    <phoneticPr fontId="34" type="noConversion"/>
  </si>
  <si>
    <t>3/29~4/4</t>
    <phoneticPr fontId="34" type="noConversion"/>
  </si>
  <si>
    <t>4/5~4/11</t>
    <phoneticPr fontId="34" type="noConversion"/>
  </si>
  <si>
    <t>4/12~4/18</t>
    <phoneticPr fontId="34" type="noConversion"/>
  </si>
  <si>
    <t>4/19~4/25</t>
    <phoneticPr fontId="34" type="noConversion"/>
  </si>
  <si>
    <t>4/26~5/2</t>
    <phoneticPr fontId="34" type="noConversion"/>
  </si>
  <si>
    <t>5/3~5/9</t>
    <phoneticPr fontId="34" type="noConversion"/>
  </si>
  <si>
    <t>5/10~5/16</t>
    <phoneticPr fontId="34" type="noConversion"/>
  </si>
  <si>
    <t>5/17~5/23</t>
    <phoneticPr fontId="34" type="noConversion"/>
  </si>
  <si>
    <t>5/24~5/30</t>
    <phoneticPr fontId="34" type="noConversion"/>
  </si>
  <si>
    <t>5/31~6/6</t>
    <phoneticPr fontId="34" type="noConversion"/>
  </si>
  <si>
    <t>6/7~6/13</t>
    <phoneticPr fontId="34" type="noConversion"/>
  </si>
  <si>
    <t>6/14~6/20</t>
    <phoneticPr fontId="34" type="noConversion"/>
  </si>
  <si>
    <t>6/21~6/27</t>
    <phoneticPr fontId="34" type="noConversion"/>
  </si>
  <si>
    <t>2023년 설비가동시간 및 처리량 산출표</t>
    <phoneticPr fontId="3" type="noConversion"/>
  </si>
  <si>
    <t xml:space="preserve">   2) 운영인력 중 가동시간과 관련성이 적은 소장, 관리팀, 환경팀, 운반팀을 제외하고 설비가동과 직접적으로 관련이 있고 가동시간과 작업량의 상관관계가 큰 기계, 전기부문 인력만을 대상으로 이들 12인의 실제 작업시간을 구</t>
    <phoneticPr fontId="34" type="noConversion"/>
  </si>
  <si>
    <t>(기본급+제수당+상여금)×0.9%
 (단수조정)</t>
    <phoneticPr fontId="3" type="noConversion"/>
  </si>
  <si>
    <t xml:space="preserve">                        2022.12.12발표, 2023.01.01 시행)</t>
    <phoneticPr fontId="3" type="noConversion"/>
  </si>
  <si>
    <t>엔지니어링사업대가의 기준
 (산업통상자원부 고시 
 제2021-137호, 2021.7.29.)</t>
    <phoneticPr fontId="3" type="noConversion"/>
  </si>
  <si>
    <t>단위(1인)당
제수당</t>
    <phoneticPr fontId="3" type="noConversion"/>
  </si>
  <si>
    <t xml:space="preserve">   5) 12인의 표준작업시간은 집하장 1개소당 표준가동시간에 12인을 승하여 산정하게 되는데 이를 산식으로 나타내면 12인 × 992시간 =11,904시간으로 산출되어짐</t>
    <phoneticPr fontId="34" type="noConversion"/>
  </si>
  <si>
    <t xml:space="preserve">     이는 정원에 미달한 필요인력을 말하는 것으로 증원이 필요함을 알수 있음</t>
    <phoneticPr fontId="34" type="noConversion"/>
  </si>
  <si>
    <t xml:space="preserve">   7) 파주시는 지속적인 세대수(유입인구)의 증가로 생활폐기물 처리량과 설비가동시간 및 투입구를 비롯한 섹션맨홀, LTP(판넬) 등 관리대상 시설물이 확대됨</t>
    <phoneticPr fontId="34" type="noConversion"/>
  </si>
  <si>
    <t>석면피해구제분담금</t>
  </si>
  <si>
    <t>소계</t>
  </si>
  <si>
    <t>운전원</t>
    <phoneticPr fontId="3" type="noConversion"/>
  </si>
  <si>
    <t>운반팀원</t>
    <phoneticPr fontId="3" type="noConversion"/>
  </si>
  <si>
    <t xml:space="preserve">      2023년도 건물위생관리(청소)용역 표준도급비((사)한국건물위생관리협회 발표) 준용</t>
    <phoneticPr fontId="3" type="noConversion"/>
  </si>
  <si>
    <t xml:space="preserve">   2) 단가 : 한국건강관리협회 남성 기본 종합검진 검사비 적용</t>
    <phoneticPr fontId="3" type="noConversion"/>
  </si>
  <si>
    <t xml:space="preserve">   2) 단가 : 지방공무원 수당 등에 관한 규정 제18조(정액급식비)</t>
    <phoneticPr fontId="3" type="noConversion"/>
  </si>
  <si>
    <t>1SET/년÷12개월÷25인
 (구급함 1set)</t>
    <phoneticPr fontId="3" type="noConversion"/>
  </si>
  <si>
    <t>기타</t>
    <phoneticPr fontId="3" type="noConversion"/>
  </si>
  <si>
    <t>사무용품</t>
    <phoneticPr fontId="3" type="noConversion"/>
  </si>
  <si>
    <t>전자용품</t>
    <phoneticPr fontId="3" type="noConversion"/>
  </si>
  <si>
    <t>파일 외</t>
    <phoneticPr fontId="3" type="noConversion"/>
  </si>
  <si>
    <t>키보드/마우스 셑트 외</t>
    <phoneticPr fontId="3" type="noConversion"/>
  </si>
  <si>
    <t>제본</t>
    <phoneticPr fontId="3" type="noConversion"/>
  </si>
  <si>
    <t>경의중앙선</t>
    <phoneticPr fontId="3" type="noConversion"/>
  </si>
  <si>
    <t>부산역 KTX</t>
    <phoneticPr fontId="3" type="noConversion"/>
  </si>
  <si>
    <t>부산1호선</t>
    <phoneticPr fontId="3" type="noConversion"/>
  </si>
  <si>
    <t>대전1호선</t>
    <phoneticPr fontId="3" type="noConversion"/>
  </si>
  <si>
    <t>대전역</t>
    <phoneticPr fontId="3" type="noConversion"/>
  </si>
  <si>
    <t>시내버스</t>
    <phoneticPr fontId="3" type="noConversion"/>
  </si>
  <si>
    <t>동대구역</t>
    <phoneticPr fontId="3" type="noConversion"/>
  </si>
  <si>
    <t>오송역</t>
    <phoneticPr fontId="3" type="noConversion"/>
  </si>
  <si>
    <t>광주송정역SRT</t>
    <phoneticPr fontId="3" type="noConversion"/>
  </si>
  <si>
    <t>울산역</t>
    <phoneticPr fontId="3" type="noConversion"/>
  </si>
  <si>
    <t>광역버스</t>
    <phoneticPr fontId="3" type="noConversion"/>
  </si>
  <si>
    <t>전주역</t>
    <phoneticPr fontId="3" type="noConversion"/>
  </si>
  <si>
    <t>세종시</t>
    <phoneticPr fontId="3" type="noConversion"/>
  </si>
  <si>
    <t>고속버스</t>
    <phoneticPr fontId="3" type="noConversion"/>
  </si>
  <si>
    <t xml:space="preserve">   2) 단가 : 물가지가격 및 시중유통거래가격 참조(열차(KTX, SRT), 고속버스 기준)</t>
    <phoneticPr fontId="3" type="noConversion"/>
  </si>
  <si>
    <t>냉난방기류 수리</t>
    <phoneticPr fontId="3" type="noConversion"/>
  </si>
  <si>
    <t>승강기 정기안전검사</t>
    <phoneticPr fontId="3" type="noConversion"/>
  </si>
  <si>
    <t>1회/2년×4개소</t>
    <phoneticPr fontId="3" type="noConversion"/>
  </si>
  <si>
    <t>1대×12개월</t>
    <phoneticPr fontId="3" type="noConversion"/>
  </si>
  <si>
    <t>스포티지 가솔린(1.6터보)</t>
    <phoneticPr fontId="3" type="noConversion"/>
  </si>
  <si>
    <t>업무용 차량(가솔린)</t>
    <phoneticPr fontId="3" type="noConversion"/>
  </si>
  <si>
    <t>1대×약 200ℓ/월×12개월</t>
    <phoneticPr fontId="3" type="noConversion"/>
  </si>
  <si>
    <t>주 1) 당해 전력사용량(kWh) : 2022년 실 전력사용량 참조</t>
    <phoneticPr fontId="3" type="noConversion"/>
  </si>
  <si>
    <t xml:space="preserve">   2) 예상 전력사용량(kWh) : 당해 전력사용량(kWh)×5.47%(3개년 년평균증가율)</t>
    <phoneticPr fontId="3" type="noConversion"/>
  </si>
  <si>
    <t>가람</t>
    <phoneticPr fontId="3" type="noConversion"/>
  </si>
  <si>
    <t>해솔</t>
    <phoneticPr fontId="3" type="noConversion"/>
  </si>
  <si>
    <t>한울</t>
    <phoneticPr fontId="3" type="noConversion"/>
  </si>
  <si>
    <t>한빛</t>
    <phoneticPr fontId="3" type="noConversion"/>
  </si>
  <si>
    <t>예비기본요금</t>
    <phoneticPr fontId="3" type="noConversion"/>
  </si>
  <si>
    <t xml:space="preserve"> </t>
    <phoneticPr fontId="3" type="noConversion"/>
  </si>
  <si>
    <t>상수도</t>
    <phoneticPr fontId="3" type="noConversion"/>
  </si>
  <si>
    <t>하수도</t>
    <phoneticPr fontId="3" type="noConversion"/>
  </si>
  <si>
    <t>물부담금</t>
    <phoneticPr fontId="3" type="noConversion"/>
  </si>
  <si>
    <t>보험기간 2022년 4월 6일 ~ 2023년 4월 6일</t>
    <phoneticPr fontId="3" type="noConversion"/>
  </si>
  <si>
    <r>
      <t>202</t>
    </r>
    <r>
      <rPr>
        <sz val="10"/>
        <rFont val="Arial Unicode MS"/>
        <family val="3"/>
        <charset val="129"/>
      </rPr>
      <t>4</t>
    </r>
    <r>
      <rPr>
        <sz val="10"/>
        <rFont val="휴먼명조"/>
        <family val="3"/>
        <charset val="129"/>
      </rPr>
      <t>년 계약금액
낙찰율적용</t>
    </r>
    <phoneticPr fontId="3" type="noConversion"/>
  </si>
  <si>
    <t>1차분(2024년)</t>
    <phoneticPr fontId="3" type="noConversion"/>
  </si>
  <si>
    <t>2차분(2025년)</t>
    <phoneticPr fontId="3" type="noConversion"/>
  </si>
  <si>
    <t>3차분(2026년)</t>
    <phoneticPr fontId="3" type="noConversion"/>
  </si>
  <si>
    <t>2023.  07.</t>
    <phoneticPr fontId="3" type="noConversion"/>
  </si>
  <si>
    <r>
      <t>주) 예정가격 작성요령(행정자치부 예규 제</t>
    </r>
    <r>
      <rPr>
        <sz val="10"/>
        <color rgb="FF000000"/>
        <rFont val="맑은 고딕"/>
        <family val="3"/>
        <charset val="129"/>
      </rPr>
      <t>231</t>
    </r>
    <r>
      <rPr>
        <sz val="10"/>
        <color indexed="8"/>
        <rFont val="휴먼명조"/>
        <family val="3"/>
        <charset val="129"/>
      </rPr>
      <t>호, 20</t>
    </r>
    <r>
      <rPr>
        <sz val="10"/>
        <color rgb="FF000000"/>
        <rFont val="맑은 고딕"/>
        <family val="3"/>
        <charset val="129"/>
      </rPr>
      <t>22</t>
    </r>
    <r>
      <rPr>
        <sz val="10"/>
        <color indexed="8"/>
        <rFont val="휴먼명조"/>
        <family val="3"/>
        <charset val="129"/>
      </rPr>
      <t>.</t>
    </r>
    <r>
      <rPr>
        <sz val="10"/>
        <color rgb="FF000000"/>
        <rFont val="맑은 고딕"/>
        <family val="3"/>
        <charset val="129"/>
      </rPr>
      <t>12</t>
    </r>
    <r>
      <rPr>
        <sz val="10"/>
        <color indexed="8"/>
        <rFont val="휴먼명조"/>
        <family val="3"/>
        <charset val="129"/>
      </rPr>
      <t>.</t>
    </r>
    <r>
      <rPr>
        <sz val="10"/>
        <color rgb="FF000000"/>
        <rFont val="맑은 고딕"/>
        <family val="3"/>
        <charset val="129"/>
      </rPr>
      <t>23</t>
    </r>
    <r>
      <rPr>
        <sz val="10"/>
        <color indexed="8"/>
        <rFont val="휴먼명조"/>
        <family val="3"/>
        <charset val="129"/>
      </rPr>
      <t>) 제2장 제4관 6.일반관리비 등 참조</t>
    </r>
    <phoneticPr fontId="3" type="noConversion"/>
  </si>
  <si>
    <r>
      <t>주) 20</t>
    </r>
    <r>
      <rPr>
        <sz val="9"/>
        <rFont val="맑은 고딕"/>
        <family val="3"/>
        <charset val="129"/>
      </rPr>
      <t>22</t>
    </r>
    <r>
      <rPr>
        <sz val="9"/>
        <rFont val="휴먼명조"/>
        <family val="3"/>
        <charset val="129"/>
      </rPr>
      <t xml:space="preserve">년 </t>
    </r>
    <r>
      <rPr>
        <sz val="9"/>
        <rFont val="맑은 고딕"/>
        <family val="3"/>
        <charset val="129"/>
      </rPr>
      <t xml:space="preserve">10월 19일 </t>
    </r>
    <r>
      <rPr>
        <sz val="9"/>
        <rFont val="휴먼명조"/>
        <family val="3"/>
        <charset val="129"/>
      </rPr>
      <t>발표 한국은행발간 기업경영분석자료 참조</t>
    </r>
    <phoneticPr fontId="3" type="noConversion"/>
  </si>
  <si>
    <r>
      <rPr>
        <sz val="10"/>
        <color rgb="FF000000"/>
        <rFont val="Segoe UI Symbol"/>
        <family val="3"/>
      </rPr>
      <t>③</t>
    </r>
    <r>
      <rPr>
        <sz val="10"/>
        <color indexed="8"/>
        <rFont val="휴먼명조"/>
        <family val="3"/>
        <charset val="129"/>
      </rPr>
      <t xml:space="preserve"> </t>
    </r>
    <r>
      <rPr>
        <sz val="10"/>
        <color rgb="FF000000"/>
        <rFont val="Arial Unicode MS"/>
        <family val="3"/>
        <charset val="129"/>
      </rPr>
      <t>경상개발비</t>
    </r>
    <r>
      <rPr>
        <sz val="10"/>
        <color rgb="FF000000"/>
        <rFont val="Calibri"/>
        <family val="3"/>
      </rPr>
      <t>.</t>
    </r>
    <r>
      <rPr>
        <sz val="10"/>
        <color rgb="FF000000"/>
        <rFont val="맑은 고딕"/>
        <family val="3"/>
        <charset val="129"/>
      </rPr>
      <t>연구비</t>
    </r>
    <phoneticPr fontId="3" type="noConversion"/>
  </si>
  <si>
    <t>주) 예정가격 작성요령(행정자치부 예규 제231호, 2022.12.23) 제2장 제4관 6.일반관리비 등 참조</t>
    <phoneticPr fontId="3" type="noConversion"/>
  </si>
  <si>
    <t>보유대수</t>
  </si>
  <si>
    <t>산출감가상각비</t>
  </si>
  <si>
    <t>대당감가상각비</t>
  </si>
  <si>
    <t>수집운반비 산출표</t>
    <phoneticPr fontId="127" type="noConversion"/>
  </si>
  <si>
    <t>차량번호</t>
    <phoneticPr fontId="3" type="noConversion"/>
  </si>
  <si>
    <t>취득가액</t>
    <phoneticPr fontId="3" type="noConversion"/>
  </si>
  <si>
    <t>내용연수</t>
    <phoneticPr fontId="3" type="noConversion"/>
  </si>
  <si>
    <t>산출감가상각비</t>
    <phoneticPr fontId="3" type="noConversion"/>
  </si>
  <si>
    <t xml:space="preserve"> 운정신도시 자동집하시설 운영관리 민간위탁 용역</t>
  </si>
  <si>
    <t>87러0196</t>
  </si>
  <si>
    <t>환경팀 수집운반 차량(1톤)</t>
    <phoneticPr fontId="3" type="noConversion"/>
  </si>
  <si>
    <t>단위</t>
    <phoneticPr fontId="127" type="noConversion"/>
  </si>
  <si>
    <t>수량</t>
    <phoneticPr fontId="127" type="noConversion"/>
  </si>
  <si>
    <t>단가</t>
    <phoneticPr fontId="127" type="noConversion"/>
  </si>
  <si>
    <t>금 액</t>
    <phoneticPr fontId="3" type="noConversion"/>
  </si>
  <si>
    <t>81수1150</t>
    <phoneticPr fontId="3" type="noConversion"/>
  </si>
  <si>
    <t>음식물 쓰레기 수집운반 차량(7톤)</t>
    <phoneticPr fontId="3" type="noConversion"/>
  </si>
  <si>
    <t>세금과공과</t>
    <phoneticPr fontId="3" type="noConversion"/>
  </si>
  <si>
    <t>81수1107</t>
    <phoneticPr fontId="3" type="noConversion"/>
  </si>
  <si>
    <t>일반 쓰레기 수집운반 차량(10톤)</t>
    <phoneticPr fontId="3" type="noConversion"/>
  </si>
  <si>
    <t>감가상각비</t>
    <phoneticPr fontId="3" type="noConversion"/>
  </si>
  <si>
    <t>실 연간세금과공과</t>
  </si>
  <si>
    <t>대당세금과공과</t>
  </si>
  <si>
    <t>수리수선비</t>
    <phoneticPr fontId="3" type="noConversion"/>
  </si>
  <si>
    <t>차량번호</t>
  </si>
  <si>
    <t>자동차세</t>
  </si>
  <si>
    <t>차량보험료</t>
  </si>
  <si>
    <t>차량검사비</t>
  </si>
  <si>
    <t>차량등록
면허세</t>
  </si>
  <si>
    <t>환경개선
부담금</t>
  </si>
  <si>
    <t>합계</t>
  </si>
  <si>
    <t>합계(연간)</t>
    <phoneticPr fontId="3" type="noConversion"/>
  </si>
  <si>
    <t>환경팀 수집운반 차량(1톤)</t>
  </si>
  <si>
    <t>81수1150</t>
  </si>
  <si>
    <t>음식물 쓰레기 수집운반 차량(7톤)</t>
  </si>
  <si>
    <t>81수1107</t>
  </si>
  <si>
    <t>일반 쓰레기 수집운반 차량(10톤)</t>
  </si>
  <si>
    <t>단위: 원/월</t>
    <phoneticPr fontId="3" type="noConversion"/>
  </si>
  <si>
    <t>1회x12개월</t>
    <phoneticPr fontId="3" type="noConversion"/>
  </si>
  <si>
    <t>회</t>
    <phoneticPr fontId="127" type="noConversion"/>
  </si>
  <si>
    <t>2023년 오피넷 6월 둘째주 전국주요소 경유 판매가격 1396.3원, 휘발유 1582.4원, 머니S 2023.6.17 https://www.moneys.co.kr/news/mwView.php?no=2023061617013930718</t>
    <phoneticPr fontId="3" type="noConversion"/>
  </si>
  <si>
    <t>단위: 원/대</t>
    <phoneticPr fontId="127" type="noConversion"/>
  </si>
  <si>
    <t>보유 차량 대수</t>
    <phoneticPr fontId="127" type="noConversion"/>
  </si>
  <si>
    <t>실 연간수리수선비</t>
    <phoneticPr fontId="127" type="noConversion"/>
  </si>
  <si>
    <t>대당수리수선비</t>
    <phoneticPr fontId="127" type="noConversion"/>
  </si>
  <si>
    <t>비 고</t>
    <phoneticPr fontId="127" type="noConversion"/>
  </si>
  <si>
    <t>주. 대당수리수선비 = 실 연간수리수선비 ÷ 보유 차량 대수</t>
    <phoneticPr fontId="127" type="noConversion"/>
  </si>
  <si>
    <t>차량
번호</t>
    <phoneticPr fontId="3" type="noConversion"/>
  </si>
  <si>
    <t>규격</t>
    <phoneticPr fontId="3" type="noConversion"/>
  </si>
  <si>
    <t>정비비
계수</t>
    <phoneticPr fontId="3" type="noConversion"/>
  </si>
  <si>
    <t>차량가격(원)</t>
    <phoneticPr fontId="3" type="noConversion"/>
  </si>
  <si>
    <t>시간당
비용(원)</t>
    <phoneticPr fontId="3" type="noConversion"/>
  </si>
  <si>
    <t>1일평균
운행
시간</t>
    <phoneticPr fontId="3" type="noConversion"/>
  </si>
  <si>
    <t>1일
수리비(원)</t>
    <phoneticPr fontId="3" type="noConversion"/>
  </si>
  <si>
    <t>작업
일수(일)</t>
    <phoneticPr fontId="3" type="noConversion"/>
  </si>
  <si>
    <t>가중치</t>
    <phoneticPr fontId="3" type="noConversion"/>
  </si>
  <si>
    <t>연간 수리비(원)</t>
    <phoneticPr fontId="3" type="noConversion"/>
  </si>
  <si>
    <t>검사
수수료(원)</t>
    <phoneticPr fontId="3" type="noConversion"/>
  </si>
  <si>
    <t>연간
수리수선비(원)</t>
    <phoneticPr fontId="3" type="noConversion"/>
  </si>
  <si>
    <t>87러
0196</t>
    <phoneticPr fontId="3" type="noConversion"/>
  </si>
  <si>
    <t>1톤</t>
    <phoneticPr fontId="3" type="noConversion"/>
  </si>
  <si>
    <t>81수
1150</t>
    <phoneticPr fontId="3" type="noConversion"/>
  </si>
  <si>
    <t>7톤</t>
    <phoneticPr fontId="127" type="noConversion"/>
  </si>
  <si>
    <t>81수
1107</t>
    <phoneticPr fontId="3" type="noConversion"/>
  </si>
  <si>
    <t>10톤</t>
    <phoneticPr fontId="3" type="noConversion"/>
  </si>
  <si>
    <t>주 1. 표준품셈에서 차량유지관리비는 상각비계수, 정비비계수, 관리비계수를 합산하여 산정하도록 하고 있음. 그러나 상각비는 개별 산정하며, 관리비계수는</t>
    <phoneticPr fontId="127" type="noConversion"/>
  </si>
  <si>
    <t xml:space="preserve">       실제 관리비용으로 지급되는 경우가 거의 없기 때문에 과대계상 방지를 위해 상각비계수 및 관리비계수는 반영하지 않음</t>
    <phoneticPr fontId="127" type="noConversion"/>
  </si>
  <si>
    <t xml:space="preserve">    2. 표준품셈에 의해 산정된 수리비에 현실적인 측면을 반영하여, 차량 구입 연수(사용연수)에 따른 가중치를 부여하여 조정함</t>
    <phoneticPr fontId="127" type="noConversion"/>
  </si>
  <si>
    <t xml:space="preserve">    ※  실제 신차의 경우 수리비는 거의 발생하지 않으며, 차량 사용 기간이 증가함에 따라 수리비도 증가함. 이러한 측면을 고려하지 않고 산정된 수리비를</t>
    <phoneticPr fontId="127" type="noConversion"/>
  </si>
  <si>
    <t xml:space="preserve">        100% 인정할 경우 과대계상의 우려가 있음</t>
    <phoneticPr fontId="127" type="noConversion"/>
  </si>
  <si>
    <t xml:space="preserve">    5. 운행시간</t>
    <phoneticPr fontId="127" type="noConversion"/>
  </si>
  <si>
    <t xml:space="preserve">      - 1톤: 8시간 중 1시간 당 휴게시간 10분을 감하여 산정</t>
    <phoneticPr fontId="127" type="noConversion"/>
  </si>
  <si>
    <t xml:space="preserve">    6. 1일 수리비 = 시간당 비용 × 운행시간</t>
    <phoneticPr fontId="127" type="noConversion"/>
  </si>
  <si>
    <t xml:space="preserve">    8. 연간 수리비 = 1일 수리비 × 작업일수 × 가중치</t>
    <phoneticPr fontId="127" type="noConversion"/>
  </si>
  <si>
    <t xml:space="preserve">    9. 연간 수리수선비 = 연간 수리비 + 검사수수료</t>
    <phoneticPr fontId="127" type="noConversion"/>
  </si>
  <si>
    <t>&lt;표 18.5.3&gt; 내용연수별 가중치</t>
    <phoneticPr fontId="3" type="noConversion"/>
  </si>
  <si>
    <t>구 분</t>
    <phoneticPr fontId="127" type="noConversion"/>
  </si>
  <si>
    <t>1년차</t>
    <phoneticPr fontId="127" type="noConversion"/>
  </si>
  <si>
    <t>2년차</t>
  </si>
  <si>
    <t>3년차</t>
  </si>
  <si>
    <t>4년차</t>
  </si>
  <si>
    <t>5년차</t>
  </si>
  <si>
    <t>가중치</t>
    <phoneticPr fontId="127" type="noConversion"/>
  </si>
  <si>
    <r>
      <t xml:space="preserve">    4. 시간당 비용 = 정비비계수 × 차량가격 × 10</t>
    </r>
    <r>
      <rPr>
        <vertAlign val="superscript"/>
        <sz val="9"/>
        <color rgb="FF000000"/>
        <rFont val="휴먼명조"/>
        <family val="3"/>
        <charset val="129"/>
      </rPr>
      <t>-7</t>
    </r>
    <phoneticPr fontId="127" type="noConversion"/>
  </si>
  <si>
    <t>2월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</si>
  <si>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</si>
  <si>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</si>
  <si>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</si>
  <si>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</si>
  <si>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</si>
  <si>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</si>
  <si>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</si>
  <si>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</si>
  <si>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</si>
  <si>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</si>
  <si>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합계(월간)</t>
    <phoneticPr fontId="3" type="noConversion"/>
  </si>
  <si>
    <t>파주운정 자동집하시설 차량 감가 상각 현황표</t>
    <phoneticPr fontId="127" type="noConversion"/>
  </si>
  <si>
    <t>구분</t>
    <phoneticPr fontId="127" type="noConversion"/>
  </si>
  <si>
    <t>차량대상금액</t>
    <phoneticPr fontId="127" type="noConversion"/>
  </si>
  <si>
    <t>적용금액
(85.57%)</t>
    <phoneticPr fontId="127" type="noConversion"/>
  </si>
  <si>
    <t>1년적용금액
(1/6)</t>
    <phoneticPr fontId="127" type="noConversion"/>
  </si>
  <si>
    <t>승인날짜</t>
    <phoneticPr fontId="127" type="noConversion"/>
  </si>
  <si>
    <t>월간감가상각비</t>
    <phoneticPr fontId="127" type="noConversion"/>
  </si>
  <si>
    <t>18년 적용금액
(월간)</t>
    <phoneticPr fontId="127" type="noConversion"/>
  </si>
  <si>
    <t>1회차</t>
    <phoneticPr fontId="127" type="noConversion"/>
  </si>
  <si>
    <t>2회차</t>
    <phoneticPr fontId="127" type="noConversion"/>
  </si>
  <si>
    <t>3회차</t>
  </si>
  <si>
    <t>4회차</t>
  </si>
  <si>
    <t>5회차</t>
  </si>
  <si>
    <t>6회차</t>
    <phoneticPr fontId="127" type="noConversion"/>
  </si>
  <si>
    <t>7회차</t>
    <phoneticPr fontId="127" type="noConversion"/>
  </si>
  <si>
    <t>총합계</t>
    <phoneticPr fontId="127" type="noConversion"/>
  </si>
  <si>
    <t>18년감가상금액</t>
    <phoneticPr fontId="127" type="noConversion"/>
  </si>
  <si>
    <t>19년</t>
    <phoneticPr fontId="127" type="noConversion"/>
  </si>
  <si>
    <t>20년</t>
  </si>
  <si>
    <t>21년</t>
  </si>
  <si>
    <t>22년</t>
  </si>
  <si>
    <t>23년</t>
    <phoneticPr fontId="127" type="noConversion"/>
  </si>
  <si>
    <t>24년</t>
    <phoneticPr fontId="127" type="noConversion"/>
  </si>
  <si>
    <t>1톤 밀폐형</t>
    <phoneticPr fontId="127" type="noConversion"/>
  </si>
  <si>
    <t>일반암롤(10톤)</t>
    <phoneticPr fontId="127" type="noConversion"/>
  </si>
  <si>
    <t>음식물(7톤)</t>
    <phoneticPr fontId="127" type="noConversion"/>
  </si>
  <si>
    <t>(차액금액)</t>
    <phoneticPr fontId="127" type="noConversion"/>
  </si>
  <si>
    <t xml:space="preserve">엔백 
(18~20년) : </t>
    <phoneticPr fontId="127" type="noConversion"/>
  </si>
  <si>
    <t>잔존가치</t>
    <phoneticPr fontId="127" type="noConversion"/>
  </si>
  <si>
    <t>지급대금총액</t>
    <phoneticPr fontId="127" type="noConversion"/>
  </si>
  <si>
    <t>브늬엘 
(21~24년) :</t>
    <phoneticPr fontId="127" type="noConversion"/>
  </si>
  <si>
    <t>총합계 :</t>
    <phoneticPr fontId="127" type="noConversion"/>
  </si>
  <si>
    <t>3대×12개월</t>
    <phoneticPr fontId="3" type="noConversion"/>
  </si>
  <si>
    <t>화재배상보험</t>
    <phoneticPr fontId="3" type="noConversion"/>
  </si>
  <si>
    <t>공통</t>
    <phoneticPr fontId="3" type="noConversion"/>
  </si>
  <si>
    <t>식</t>
    <phoneticPr fontId="3" type="noConversion"/>
  </si>
  <si>
    <t>영업배상보험</t>
    <phoneticPr fontId="3" type="noConversion"/>
  </si>
  <si>
    <t>공통(주관로 52.49㎞, 시설면적 6,741㎡)</t>
    <phoneticPr fontId="3" type="noConversion"/>
  </si>
  <si>
    <t>1식</t>
    <phoneticPr fontId="3" type="noConversion"/>
  </si>
  <si>
    <t>3대×약 950ℓ/월×12개월</t>
    <phoneticPr fontId="3" type="noConversion"/>
  </si>
  <si>
    <t xml:space="preserve">    3. 정비비계수: 2023년 건설공사표준품셈 참고</t>
    <phoneticPr fontId="127" type="noConversion"/>
  </si>
  <si>
    <t xml:space="preserve">    7. 작업일수: 2023년 1월~3월 작업일지를 참고하여 1년 작업 일수 추정</t>
    <phoneticPr fontId="127" type="noConversion"/>
  </si>
  <si>
    <t>6년차</t>
    <phoneticPr fontId="3" type="noConversion"/>
  </si>
  <si>
    <t>7년차 이후</t>
    <phoneticPr fontId="3" type="noConversion"/>
  </si>
  <si>
    <t>수리비미반영</t>
    <phoneticPr fontId="3" type="noConversion"/>
  </si>
  <si>
    <t xml:space="preserve">      - 7톤, 10톤: 2023년 1월~3월 작업일지 참고</t>
    <phoneticPr fontId="127" type="noConversion"/>
  </si>
  <si>
    <t>2024년 1월 1일 ~ 2024년 12월 31일(12개월)</t>
    <phoneticPr fontId="3" type="noConversion"/>
  </si>
  <si>
    <t>2025년 1월 1일 ~ 2025년 12월 31일(12개월)</t>
    <phoneticPr fontId="3" type="noConversion"/>
  </si>
  <si>
    <t>2026년 1월 1일 ~ 2026년 12월 31일(12개월)</t>
    <phoneticPr fontId="3" type="noConversion"/>
  </si>
  <si>
    <t>2024. 1. 01. ∼ 2024. 12. 31.</t>
    <phoneticPr fontId="3" type="noConversion"/>
  </si>
  <si>
    <r>
      <t xml:space="preserve">2025. </t>
    </r>
    <r>
      <rPr>
        <sz val="10"/>
        <rFont val="Arial Unicode MS"/>
        <family val="3"/>
        <charset val="129"/>
      </rPr>
      <t>1</t>
    </r>
    <r>
      <rPr>
        <sz val="10"/>
        <rFont val="휴먼명조"/>
        <family val="3"/>
        <charset val="129"/>
      </rPr>
      <t>. 01. ∼ 2025. 12. 31.</t>
    </r>
    <phoneticPr fontId="3" type="noConversion"/>
  </si>
  <si>
    <r>
      <t xml:space="preserve">2026. </t>
    </r>
    <r>
      <rPr>
        <sz val="10"/>
        <rFont val="Arial Unicode MS"/>
        <family val="3"/>
        <charset val="129"/>
      </rPr>
      <t>1</t>
    </r>
    <r>
      <rPr>
        <sz val="10"/>
        <rFont val="휴먼명조"/>
        <family val="3"/>
        <charset val="129"/>
      </rPr>
      <t>. 01. ∼ 2026. 12. 31.</t>
    </r>
    <phoneticPr fontId="3" type="noConversion"/>
  </si>
  <si>
    <t>단위: 원/대</t>
    <phoneticPr fontId="3" type="noConversion"/>
  </si>
  <si>
    <t>보유대수</t>
    <phoneticPr fontId="3" type="noConversion"/>
  </si>
  <si>
    <t>실 연간세금과공과</t>
    <phoneticPr fontId="3" type="noConversion"/>
  </si>
  <si>
    <t>대당세금과공과</t>
    <phoneticPr fontId="3" type="noConversion"/>
  </si>
  <si>
    <t>주. 대당세금과공과 = 실 연간세금과공과 ÷ 보유대수</t>
    <phoneticPr fontId="3" type="noConversion"/>
  </si>
  <si>
    <t>단위: 원</t>
    <phoneticPr fontId="3" type="noConversion"/>
  </si>
  <si>
    <t>자동차세</t>
    <phoneticPr fontId="3" type="noConversion"/>
  </si>
  <si>
    <t>차량보험료</t>
    <phoneticPr fontId="3" type="noConversion"/>
  </si>
  <si>
    <t>차량검사비</t>
    <phoneticPr fontId="3" type="noConversion"/>
  </si>
  <si>
    <t>차량등록
면허세</t>
    <phoneticPr fontId="3" type="noConversion"/>
  </si>
  <si>
    <t>환경개선
부담금</t>
    <phoneticPr fontId="3" type="noConversion"/>
  </si>
  <si>
    <t>87러0196</t>
    <phoneticPr fontId="3" type="noConversion"/>
  </si>
  <si>
    <t>주. 생활폐기물 수집·운반 작업과 직접 관련되어 부담하여야 할 자동차세, 차량보험료, 환경개선부담금 등의 세금 및 공과금</t>
    <phoneticPr fontId="3" type="noConversion"/>
  </si>
  <si>
    <t>단위: 원/%</t>
    <phoneticPr fontId="3" type="noConversion"/>
  </si>
  <si>
    <t>노무비 합계</t>
    <phoneticPr fontId="3" type="noConversion"/>
  </si>
  <si>
    <t>기타경비</t>
    <phoneticPr fontId="3" type="noConversion"/>
  </si>
  <si>
    <t>주. 운반팀의 노무비 합계 적용</t>
    <phoneticPr fontId="3" type="noConversion"/>
  </si>
  <si>
    <t>&lt;표 18.3.2&gt; 기타경비율 산출표</t>
    <phoneticPr fontId="3" type="noConversion"/>
  </si>
  <si>
    <t>배 부 율</t>
    <phoneticPr fontId="3" type="noConversion"/>
  </si>
  <si>
    <t>평균</t>
    <phoneticPr fontId="3" type="noConversion"/>
  </si>
  <si>
    <t>공사종류
(산업설비)</t>
    <phoneticPr fontId="3" type="noConversion"/>
  </si>
  <si>
    <t>공사규모
(5억~30억)</t>
    <phoneticPr fontId="3" type="noConversion"/>
  </si>
  <si>
    <t>공사기간
(7~12개월)</t>
    <phoneticPr fontId="3" type="noConversion"/>
  </si>
  <si>
    <t>전력비</t>
    <phoneticPr fontId="3" type="noConversion"/>
  </si>
  <si>
    <t>개별계산</t>
    <phoneticPr fontId="3" type="noConversion"/>
  </si>
  <si>
    <t>수도광열비</t>
    <phoneticPr fontId="3" type="noConversion"/>
  </si>
  <si>
    <t>복리후생비</t>
    <phoneticPr fontId="3" type="noConversion"/>
  </si>
  <si>
    <t>소모·사무용품</t>
    <phoneticPr fontId="3" type="noConversion"/>
  </si>
  <si>
    <t>여비·교통비·통신비</t>
    <phoneticPr fontId="3" type="noConversion"/>
  </si>
  <si>
    <t>도서인쇄비</t>
    <phoneticPr fontId="3" type="noConversion"/>
  </si>
  <si>
    <t>지급수수료</t>
    <phoneticPr fontId="3" type="noConversion"/>
  </si>
  <si>
    <t>주. 대한건설협회에서 2022년 09월 발표한 '2021년 기준 완성공사 원가통계 경비율'에 근거하여 산출함</t>
    <phoneticPr fontId="3" type="noConversion"/>
  </si>
  <si>
    <t>집계표 참조</t>
    <phoneticPr fontId="3" type="noConversion"/>
  </si>
  <si>
    <t>일일사용비율</t>
    <phoneticPr fontId="3" type="noConversion"/>
  </si>
  <si>
    <t>봄,가을</t>
    <phoneticPr fontId="3" type="noConversion"/>
  </si>
  <si>
    <t>여름</t>
    <phoneticPr fontId="3" type="noConversion"/>
  </si>
  <si>
    <t>겨울</t>
    <phoneticPr fontId="3" type="noConversion"/>
  </si>
  <si>
    <t>집진필터</t>
  </si>
  <si>
    <t>투입구 예비품</t>
  </si>
  <si>
    <t>관크리닝 및 포집백</t>
  </si>
  <si>
    <t>공기압축기 소모품교체
/수리</t>
    <phoneticPr fontId="3" type="noConversion"/>
  </si>
  <si>
    <t>활성탄 교체</t>
  </si>
  <si>
    <t>송풍기 인버터 수리</t>
  </si>
  <si>
    <t>전기실 UPS관련</t>
  </si>
  <si>
    <t>순환펌프 수리</t>
    <phoneticPr fontId="3" type="noConversion"/>
  </si>
  <si>
    <t>소방설비 보수</t>
  </si>
  <si>
    <t>엘리베이터 보수</t>
  </si>
  <si>
    <t>컨테이너 이송설비 수리</t>
  </si>
  <si>
    <t>송풍기 모터 보수</t>
  </si>
  <si>
    <t>통신관련 수리,구매</t>
  </si>
  <si>
    <t>운영관련 시설물 유지비
(PC, 복합기, 휴대용발전기 기름등)</t>
    <phoneticPr fontId="3" type="noConversion"/>
  </si>
  <si>
    <t>국소배기 보수</t>
    <phoneticPr fontId="3" type="noConversion"/>
  </si>
  <si>
    <t>컴팩터 관련 수리</t>
    <phoneticPr fontId="3" type="noConversion"/>
  </si>
  <si>
    <t>자동제어 관련 수리 보수</t>
  </si>
  <si>
    <t>원심분리수 보수</t>
  </si>
  <si>
    <t>전환밸브 보수</t>
  </si>
  <si>
    <t>건축물 설비 보수</t>
    <phoneticPr fontId="3" type="noConversion"/>
  </si>
  <si>
    <t>세정식탈취설비 수리</t>
    <phoneticPr fontId="3" type="noConversion"/>
  </si>
  <si>
    <t>운영관련 시설물 유지비</t>
    <phoneticPr fontId="3" type="noConversion"/>
  </si>
  <si>
    <t>컴팩터 플레이트 수리</t>
  </si>
  <si>
    <t>컨테이너 수리</t>
  </si>
  <si>
    <t>집하시설 옥외 시설 수리</t>
    <phoneticPr fontId="3" type="noConversion"/>
  </si>
  <si>
    <t>긴급 수리비</t>
    <phoneticPr fontId="3" type="noConversion"/>
  </si>
  <si>
    <t>수선유지비산출표(2025)</t>
    <phoneticPr fontId="3" type="noConversion"/>
  </si>
  <si>
    <t>건축물 관련 보수</t>
    <phoneticPr fontId="3" type="noConversion"/>
  </si>
  <si>
    <t>수선유지비산출표(2026)</t>
    <phoneticPr fontId="3" type="noConversion"/>
  </si>
  <si>
    <t>1차 용역비</t>
    <phoneticPr fontId="3" type="noConversion"/>
  </si>
  <si>
    <t>2차 용역비</t>
    <phoneticPr fontId="3" type="noConversion"/>
  </si>
  <si>
    <t>3차 용역비</t>
    <phoneticPr fontId="3" type="noConversion"/>
  </si>
  <si>
    <t>일</t>
  </si>
  <si>
    <t>월</t>
  </si>
  <si>
    <t>화</t>
  </si>
  <si>
    <t>수</t>
  </si>
  <si>
    <t>목</t>
  </si>
  <si>
    <t>금</t>
  </si>
  <si>
    <t>토</t>
  </si>
  <si>
    <t>근무일수</t>
  </si>
  <si>
    <t>토요일</t>
  </si>
  <si>
    <t>일요일</t>
  </si>
  <si>
    <t>공휴일</t>
  </si>
  <si>
    <t>01월</t>
    <phoneticPr fontId="3" type="noConversion"/>
  </si>
  <si>
    <t xml:space="preserve"> 01.01 신정</t>
    <phoneticPr fontId="3" type="noConversion"/>
  </si>
  <si>
    <t>02월</t>
    <phoneticPr fontId="3" type="noConversion"/>
  </si>
  <si>
    <t>03월</t>
    <phoneticPr fontId="3" type="noConversion"/>
  </si>
  <si>
    <t xml:space="preserve"> 03.01 삼일절</t>
    <phoneticPr fontId="3" type="noConversion"/>
  </si>
  <si>
    <t>04월</t>
    <phoneticPr fontId="3" type="noConversion"/>
  </si>
  <si>
    <t>05월</t>
    <phoneticPr fontId="3" type="noConversion"/>
  </si>
  <si>
    <t>06월</t>
    <phoneticPr fontId="3" type="noConversion"/>
  </si>
  <si>
    <t xml:space="preserve"> 06.06 현충일</t>
    <phoneticPr fontId="3" type="noConversion"/>
  </si>
  <si>
    <t>07월</t>
    <phoneticPr fontId="3" type="noConversion"/>
  </si>
  <si>
    <t>08월</t>
    <phoneticPr fontId="3" type="noConversion"/>
  </si>
  <si>
    <t xml:space="preserve"> 08.15 광복절</t>
    <phoneticPr fontId="3" type="noConversion"/>
  </si>
  <si>
    <t>09월</t>
    <phoneticPr fontId="3" type="noConversion"/>
  </si>
  <si>
    <t xml:space="preserve"> 10.03 개천절
 10.09 한글날</t>
    <phoneticPr fontId="3" type="noConversion"/>
  </si>
  <si>
    <t xml:space="preserve"> 12.25 성탄절</t>
    <phoneticPr fontId="3" type="noConversion"/>
  </si>
  <si>
    <t>평일당직</t>
  </si>
  <si>
    <t>주말당직</t>
  </si>
  <si>
    <t>2024년 달력</t>
    <phoneticPr fontId="3" type="noConversion"/>
  </si>
  <si>
    <t xml:space="preserve"> 09.16 추석연휴
 09.17 추석
 09.18 추석연휴</t>
    <phoneticPr fontId="3" type="noConversion"/>
  </si>
  <si>
    <t xml:space="preserve"> 05.01 노동절
 05.05 어린이날
 05.15 석가탄신일</t>
    <phoneticPr fontId="3" type="noConversion"/>
  </si>
  <si>
    <t xml:space="preserve"> 02.09 설날연휴
 02.10 설날
 02.12 설날연휴(대체휴일)</t>
    <phoneticPr fontId="3" type="noConversion"/>
  </si>
  <si>
    <t>2024년</t>
    <phoneticPr fontId="3" type="noConversion"/>
  </si>
  <si>
    <t>* 기간 : 2024년 1월 1일 ~ 2024년 12월 31일(12개월)</t>
    <phoneticPr fontId="3" type="noConversion"/>
  </si>
  <si>
    <t>별표3 산정금액</t>
    <phoneticPr fontId="3" type="noConversion"/>
  </si>
  <si>
    <t>기준금액 산정</t>
    <phoneticPr fontId="3" type="noConversion"/>
  </si>
  <si>
    <t>전문위탁사 자료참조</t>
    <phoneticPr fontId="3" type="noConversion"/>
  </si>
  <si>
    <t>일반관리비(9%)</t>
    <phoneticPr fontId="3" type="noConversion"/>
  </si>
  <si>
    <t>용역원가계산서(2024년)</t>
    <phoneticPr fontId="6" type="noConversion"/>
  </si>
  <si>
    <t>용역원가계산서(2025년)</t>
    <phoneticPr fontId="6" type="noConversion"/>
  </si>
  <si>
    <t>용역원가계산서(2026년)</t>
    <phoneticPr fontId="6" type="noConversion"/>
  </si>
  <si>
    <t>수리수선비 집계표</t>
    <phoneticPr fontId="3" type="noConversion"/>
  </si>
  <si>
    <t>실 연간 수리수선비 산출표</t>
    <phoneticPr fontId="3" type="noConversion"/>
  </si>
  <si>
    <t>기타경비 집계표</t>
    <phoneticPr fontId="3" type="noConversion"/>
  </si>
  <si>
    <t>세금과공과 집계표</t>
    <phoneticPr fontId="3" type="noConversion"/>
  </si>
  <si>
    <t>세금과공과 산출표</t>
    <phoneticPr fontId="3" type="noConversion"/>
  </si>
  <si>
    <t>1인×12회/년÷12개월</t>
    <phoneticPr fontId="3" type="noConversion"/>
  </si>
  <si>
    <t>부가세법 제26조, 동법 시행령 제35조 참조</t>
  </si>
  <si>
    <t>부가세법 제26조, 동법 시행령 제35조 참조</t>
    <phoneticPr fontId="3" type="noConversion"/>
  </si>
  <si>
    <t xml:space="preserve"> 주. 실제 운영 자료 참조 및 실사용금액 정산(부가가치세 면세 사업대상 임)</t>
    <phoneticPr fontId="3" type="noConversion"/>
  </si>
  <si>
    <t>[ 표 : 11 ]</t>
    <phoneticPr fontId="3" type="noConversion"/>
  </si>
  <si>
    <t>[ 표 : 12 ]</t>
    <phoneticPr fontId="3" type="noConversion"/>
  </si>
  <si>
    <t>[ 표 : 13 ]</t>
    <phoneticPr fontId="3" type="noConversion"/>
  </si>
  <si>
    <t>[ 표 : 14 ]</t>
    <phoneticPr fontId="3" type="noConversion"/>
  </si>
  <si>
    <t>[ 표 : 15 ]</t>
    <phoneticPr fontId="3" type="noConversion"/>
  </si>
  <si>
    <t>[ 표 : 16 ]</t>
    <phoneticPr fontId="3" type="noConversion"/>
  </si>
  <si>
    <t>[ 표 : 17 ]</t>
    <phoneticPr fontId="3" type="noConversion"/>
  </si>
  <si>
    <t>[ 표 : 18 ]</t>
    <phoneticPr fontId="3" type="noConversion"/>
  </si>
  <si>
    <t>[ 표 : 19 ]</t>
    <phoneticPr fontId="3" type="noConversion"/>
  </si>
  <si>
    <t>[ 표 : 20 ]</t>
    <phoneticPr fontId="3" type="noConversion"/>
  </si>
  <si>
    <t>[ 표 : 21 ]</t>
    <phoneticPr fontId="3" type="noConversion"/>
  </si>
  <si>
    <t>[ 표 : 22 ]</t>
    <phoneticPr fontId="3" type="noConversion"/>
  </si>
  <si>
    <t>[ 표 : 23 ]</t>
    <phoneticPr fontId="3" type="noConversion"/>
  </si>
  <si>
    <t>[ 표 : 24 ]</t>
    <phoneticPr fontId="3" type="noConversion"/>
  </si>
  <si>
    <t>[ 표 : 25 ]</t>
    <phoneticPr fontId="3" type="noConversion"/>
  </si>
  <si>
    <t>[ 표 : 26 ]</t>
    <phoneticPr fontId="3" type="noConversion"/>
  </si>
  <si>
    <t>[ 표 : 27 ]</t>
    <phoneticPr fontId="3" type="noConversion"/>
  </si>
  <si>
    <t>[ 표 : 28 ]</t>
    <phoneticPr fontId="3" type="noConversion"/>
  </si>
  <si>
    <t>[ 표 : 29 ]</t>
    <phoneticPr fontId="3" type="noConversion"/>
  </si>
  <si>
    <t>[ 표 : 30 ]</t>
    <phoneticPr fontId="3" type="noConversion"/>
  </si>
  <si>
    <t>[ 표 : 31 ]</t>
    <phoneticPr fontId="3" type="noConversion"/>
  </si>
  <si>
    <t>[ 표 : 32 ]</t>
    <phoneticPr fontId="3" type="noConversion"/>
  </si>
  <si>
    <t>[ 표 : 33 ]</t>
    <phoneticPr fontId="3" type="noConversion"/>
  </si>
  <si>
    <t>[ 표 : 34 ]</t>
    <phoneticPr fontId="3" type="noConversion"/>
  </si>
  <si>
    <t>[ 표 : 35 ]</t>
    <phoneticPr fontId="3" type="noConversion"/>
  </si>
  <si>
    <t>[ 표 : 36 ]</t>
    <phoneticPr fontId="3" type="noConversion"/>
  </si>
  <si>
    <t>[ 표 : 37 ]</t>
    <phoneticPr fontId="3" type="noConversion"/>
  </si>
  <si>
    <t>[ 표 : 38 ]</t>
    <phoneticPr fontId="3" type="noConversion"/>
  </si>
  <si>
    <t>[ 표 : 39 ]</t>
    <phoneticPr fontId="3" type="noConversion"/>
  </si>
  <si>
    <t>[ 표 : 40 ]</t>
    <phoneticPr fontId="3" type="noConversion"/>
  </si>
  <si>
    <t>[ 표 : 41 ]</t>
    <phoneticPr fontId="3" type="noConversion"/>
  </si>
  <si>
    <t>[ 표 : 42 ]</t>
    <phoneticPr fontId="3" type="noConversion"/>
  </si>
  <si>
    <t>[ 표 : 43 ]</t>
    <phoneticPr fontId="3" type="noConversion"/>
  </si>
  <si>
    <t>[ 표 : 44 ]</t>
    <phoneticPr fontId="3" type="noConversion"/>
  </si>
  <si>
    <t>[ 표 : 45 ]</t>
    <phoneticPr fontId="3" type="noConversion"/>
  </si>
  <si>
    <t>[ 표 : 46 ]</t>
    <phoneticPr fontId="3" type="noConversion"/>
  </si>
  <si>
    <t>안전관리비</t>
    <phoneticPr fontId="3" type="noConversion"/>
  </si>
  <si>
    <t>직접노무비 x 지급요율</t>
    <phoneticPr fontId="3" type="noConversion"/>
  </si>
  <si>
    <t>산출금액÷12개월</t>
  </si>
  <si>
    <t>주 1) 파주시 안전보건을 위한 관리비용에 관한 기준 [별표2]에 따른 금액(기준금액의 1.86%)</t>
    <phoneticPr fontId="3" type="noConversion"/>
  </si>
  <si>
    <t>관리팀원</t>
    <phoneticPr fontId="3" type="noConversion"/>
  </si>
  <si>
    <t xml:space="preserve"> </t>
    <phoneticPr fontId="10" type="noConversion"/>
  </si>
  <si>
    <t>환경팀장</t>
    <phoneticPr fontId="3" type="noConversion"/>
  </si>
  <si>
    <r>
      <t>2,213,499</t>
    </r>
    <r>
      <rPr>
        <sz val="10"/>
        <rFont val="휴먼명조"/>
        <family val="3"/>
        <charset val="129"/>
      </rPr>
      <t>kw/년-</t>
    </r>
    <r>
      <rPr>
        <sz val="10"/>
        <rFont val="Helvetica Neue"/>
        <family val="3"/>
        <charset val="129"/>
      </rPr>
      <t>8,156.5</t>
    </r>
    <r>
      <rPr>
        <sz val="10"/>
        <rFont val="휴먼명조"/>
        <family val="3"/>
        <charset val="129"/>
      </rPr>
      <t>kw/년</t>
    </r>
    <phoneticPr fontId="3" type="noConversion"/>
  </si>
  <si>
    <r>
      <rPr>
        <sz val="10"/>
        <rFont val="휴먼명조"/>
        <family val="3"/>
      </rPr>
      <t>3,736,971</t>
    </r>
    <r>
      <rPr>
        <sz val="10"/>
        <rFont val="휴먼명조"/>
        <family val="3"/>
        <charset val="129"/>
      </rPr>
      <t>kw/년-8,156.5kw/년</t>
    </r>
    <phoneticPr fontId="3" type="noConversion"/>
  </si>
  <si>
    <r>
      <rPr>
        <sz val="10"/>
        <rFont val="Arial Unicode MS"/>
        <family val="3"/>
        <charset val="129"/>
      </rPr>
      <t>2,131,855</t>
    </r>
    <r>
      <rPr>
        <sz val="10"/>
        <rFont val="휴먼명조"/>
        <family val="3"/>
        <charset val="129"/>
      </rPr>
      <t>kw/년-</t>
    </r>
    <r>
      <rPr>
        <sz val="10"/>
        <rFont val="Arial Unicode MS"/>
        <family val="3"/>
        <charset val="129"/>
      </rPr>
      <t>8,156.5</t>
    </r>
    <r>
      <rPr>
        <sz val="10"/>
        <rFont val="휴먼명조"/>
        <family val="3"/>
        <charset val="129"/>
      </rPr>
      <t>kw/년</t>
    </r>
    <phoneticPr fontId="3" type="noConversion"/>
  </si>
  <si>
    <r>
      <rPr>
        <sz val="10"/>
        <rFont val="Arial Unicode MS"/>
        <family val="3"/>
        <charset val="129"/>
      </rPr>
      <t>2,923,758</t>
    </r>
    <r>
      <rPr>
        <sz val="10"/>
        <rFont val="휴먼명조"/>
        <family val="3"/>
        <charset val="129"/>
      </rPr>
      <t>kw/년-</t>
    </r>
    <r>
      <rPr>
        <sz val="10"/>
        <rFont val="Arial Unicode MS"/>
        <family val="3"/>
        <charset val="129"/>
      </rPr>
      <t>8,156.5</t>
    </r>
    <r>
      <rPr>
        <sz val="10"/>
        <rFont val="휴먼명조"/>
        <family val="3"/>
        <charset val="129"/>
      </rPr>
      <t>kw/년</t>
    </r>
    <phoneticPr fontId="3" type="noConversion"/>
  </si>
  <si>
    <r>
      <t>8</t>
    </r>
    <r>
      <rPr>
        <sz val="10"/>
        <rFont val="Helvetica Neue"/>
        <family val="3"/>
        <charset val="129"/>
      </rPr>
      <t>,</t>
    </r>
    <r>
      <rPr>
        <sz val="10"/>
        <rFont val="휴먼명조"/>
        <family val="3"/>
        <charset val="129"/>
      </rPr>
      <t>156.5kw/년×4개소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</si>
</sst>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_ * #,##0.00_ ;_ * \-#,##0.00_ ;_ * &quot;-&quot;_ ;_ @_ "/>
    <numFmt numFmtId="179" formatCode="0_);[Red]\(0\)"/>
    <numFmt numFmtId="180" formatCode="#,##0.0_);[Red]\(#,##0.0\)"/>
    <numFmt numFmtId="181" formatCode="#,##0_);[Red]\(#,##0\)"/>
    <numFmt numFmtId="182" formatCode="_ * #,##0.00_ ;_ * \-#,##0.00_ ;_ * &quot;-&quot;??_ ;_ @_ "/>
    <numFmt numFmtId="183" formatCode="_-* #,##0.00_-;\-* #,##0.00_-;_-* &quot;-&quot;_-;_-@_-"/>
    <numFmt numFmtId="184" formatCode="0.0"/>
    <numFmt numFmtId="185" formatCode="_-* #,##0.0_-;\-* #,##0.0_-;_-* &quot;-&quot;_-;_-@_-"/>
    <numFmt numFmtId="186" formatCode="_-* #,##0.000_-;\-* #,##0.000_-;_-* &quot;-&quot;_-;_-@_-"/>
    <numFmt numFmtId="187" formatCode="&quot;₩&quot;#,##0;&quot;₩&quot;&quot;₩&quot;\-#,##0"/>
    <numFmt numFmtId="188" formatCode="&quot;₩&quot;#,##0.00;&quot;₩&quot;&quot;₩&quot;\-#,##0.00"/>
    <numFmt numFmtId="189" formatCode="&quot;₩&quot;#,##0.00;[Red]&quot;₩&quot;&quot;₩&quot;&quot;₩&quot;&quot;₩&quot;&quot;₩&quot;&quot;₩&quot;&quot;₩&quot;&quot;₩&quot;\-#,##0.00"/>
    <numFmt numFmtId="190" formatCode="#,##0_);\(#,##0\)"/>
    <numFmt numFmtId="191" formatCode="#,##0.0000_);[Red]\(#,##0.0000\)"/>
    <numFmt numFmtId="192" formatCode="#,##0.00_ "/>
    <numFmt numFmtId="193" formatCode="#,##0.00_);\(#,##0.00\)"/>
    <numFmt numFmtId="194" formatCode="0.000"/>
    <numFmt numFmtId="195" formatCode="#,##0.0000_ "/>
    <numFmt numFmtId="196" formatCode="0.000%"/>
    <numFmt numFmtId="197" formatCode="#,##0;&quot;△&quot;#,##0;&quot;-&quot;"/>
    <numFmt numFmtId="198" formatCode="#,##0_ ;[Red]\-#,##0\ "/>
    <numFmt numFmtId="199" formatCode="&quot;금&quot;#,##0&quot;원&quot;"/>
    <numFmt numFmtId="200" formatCode="&quot;(\ &quot;#,##0&quot; - )&quot;"/>
    <numFmt numFmtId="201" formatCode="_-* #,##0_-;\-* #,##0_-;_-* &quot;-&quot;??_-;_-@_-"/>
    <numFmt numFmtId="202" formatCode="_-&quot;₩&quot;* #,##0_-;\-&quot;₩&quot;* #,##0_-;_-&quot;₩&quot;* &quot;-&quot;??_-;_-@_-"/>
  </numFmts>
  <fonts count="16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20"/>
      <name val="굴림체"/>
      <family val="3"/>
      <charset val="129"/>
    </font>
    <font>
      <sz val="11"/>
      <name val="굴림체"/>
      <family val="3"/>
      <charset val="129"/>
    </font>
    <font>
      <sz val="8"/>
      <name val="바탕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2"/>
      <name val="굴림체"/>
      <family val="3"/>
      <charset val="129"/>
    </font>
    <font>
      <sz val="14"/>
      <name val="뼻뮝"/>
      <family val="3"/>
      <charset val="129"/>
    </font>
    <font>
      <sz val="11"/>
      <name val="돋움체"/>
      <family val="3"/>
      <charset val="129"/>
    </font>
    <font>
      <sz val="10"/>
      <name val="굴림체"/>
      <family val="3"/>
      <charset val="129"/>
    </font>
    <font>
      <sz val="12"/>
      <name val="명조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u/>
      <sz val="8.25"/>
      <color indexed="36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sz val="9"/>
      <name val="돋움체"/>
      <family val="3"/>
      <charset val="129"/>
    </font>
    <font>
      <sz val="2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0"/>
      <name val="바탕체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8"/>
      <name val="맑은 고딕"/>
      <family val="3"/>
      <charset val="129"/>
    </font>
    <font>
      <sz val="10"/>
      <color indexed="8"/>
      <name val="휴먼명조"/>
      <family val="3"/>
      <charset val="129"/>
    </font>
    <font>
      <sz val="10"/>
      <name val="휴먼명조"/>
      <family val="3"/>
      <charset val="129"/>
    </font>
    <font>
      <sz val="8"/>
      <name val="돋움체"/>
      <family val="3"/>
      <charset val="129"/>
    </font>
    <font>
      <sz val="20"/>
      <name val="휴먼명조"/>
      <family val="3"/>
      <charset val="129"/>
    </font>
    <font>
      <b/>
      <sz val="10"/>
      <name val="휴먼명조"/>
      <family val="3"/>
      <charset val="129"/>
    </font>
    <font>
      <sz val="11"/>
      <name val="휴먼명조"/>
      <family val="3"/>
      <charset val="129"/>
    </font>
    <font>
      <sz val="9"/>
      <name val="휴먼명조"/>
      <family val="3"/>
      <charset val="129"/>
    </font>
    <font>
      <sz val="15"/>
      <name val="휴먼명조"/>
      <family val="3"/>
      <charset val="129"/>
    </font>
    <font>
      <sz val="16"/>
      <name val="휴먼명조"/>
      <family val="3"/>
      <charset val="129"/>
    </font>
    <font>
      <sz val="20"/>
      <color indexed="8"/>
      <name val="휴먼명조"/>
      <family val="3"/>
      <charset val="129"/>
    </font>
    <font>
      <u/>
      <sz val="10"/>
      <color indexed="8"/>
      <name val="휴먼명조"/>
      <family val="3"/>
      <charset val="129"/>
    </font>
    <font>
      <sz val="10"/>
      <color indexed="10"/>
      <name val="휴먼명조"/>
      <family val="3"/>
      <charset val="129"/>
    </font>
    <font>
      <b/>
      <sz val="14"/>
      <name val="휴먼명조"/>
      <family val="3"/>
      <charset val="129"/>
    </font>
    <font>
      <sz val="20"/>
      <color indexed="10"/>
      <name val="휴먼명조"/>
      <family val="3"/>
      <charset val="129"/>
    </font>
    <font>
      <sz val="12"/>
      <name val="휴먼명조"/>
      <family val="3"/>
      <charset val="129"/>
    </font>
    <font>
      <sz val="28"/>
      <name val="휴먼명조"/>
      <family val="3"/>
      <charset val="129"/>
    </font>
    <font>
      <sz val="14"/>
      <name val="휴먼명조"/>
      <family val="3"/>
      <charset val="129"/>
    </font>
    <font>
      <sz val="13"/>
      <name val="휴먼명조"/>
      <family val="3"/>
      <charset val="129"/>
    </font>
    <font>
      <b/>
      <sz val="10"/>
      <name val="휴먼명조"/>
      <family val="3"/>
      <charset val="129"/>
    </font>
    <font>
      <sz val="20"/>
      <name val="HY헤드라인M"/>
      <family val="1"/>
      <charset val="129"/>
    </font>
    <font>
      <sz val="40"/>
      <name val="HY헤드라인M"/>
      <family val="1"/>
      <charset val="129"/>
    </font>
    <font>
      <sz val="30"/>
      <name val="HY헤드라인M"/>
      <family val="1"/>
      <charset val="129"/>
    </font>
    <font>
      <sz val="18"/>
      <name val="HY헤드라인M"/>
      <family val="1"/>
      <charset val="129"/>
    </font>
    <font>
      <sz val="16"/>
      <name val="HY헤드라인M"/>
      <family val="1"/>
      <charset val="129"/>
    </font>
    <font>
      <sz val="10"/>
      <name val="돋움"/>
      <family val="3"/>
      <charset val="129"/>
    </font>
    <font>
      <b/>
      <sz val="14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0"/>
      <color indexed="8"/>
      <name val="돋움"/>
      <family val="3"/>
      <charset val="129"/>
    </font>
    <font>
      <sz val="11"/>
      <name val="맑은 고딕"/>
      <family val="3"/>
      <charset val="129"/>
    </font>
    <font>
      <b/>
      <sz val="20"/>
      <name val="굴림체"/>
      <family val="3"/>
      <charset val="129"/>
    </font>
    <font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22"/>
      <name val="바탕체"/>
      <family val="1"/>
      <charset val="129"/>
    </font>
    <font>
      <sz val="10.5"/>
      <name val="돋움"/>
      <family val="3"/>
      <charset val="129"/>
    </font>
    <font>
      <b/>
      <sz val="14"/>
      <name val="굴림체"/>
      <family val="3"/>
      <charset val="129"/>
    </font>
    <font>
      <b/>
      <sz val="14"/>
      <name val="돋움"/>
      <family val="3"/>
      <charset val="129"/>
    </font>
    <font>
      <b/>
      <sz val="23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10"/>
      <color theme="0"/>
      <name val="휴먼명조"/>
      <family val="3"/>
      <charset val="129"/>
    </font>
    <font>
      <sz val="100"/>
      <color theme="0"/>
      <name val="휴먼명조"/>
      <family val="3"/>
      <charset val="129"/>
    </font>
    <font>
      <sz val="12"/>
      <color theme="0"/>
      <name val="휴먼명조"/>
      <family val="3"/>
      <charset val="129"/>
    </font>
    <font>
      <sz val="10"/>
      <color theme="1"/>
      <name val="굴림"/>
      <family val="3"/>
      <charset val="129"/>
    </font>
    <font>
      <sz val="9"/>
      <color rgb="FFFF0000"/>
      <name val="맑은 고딕"/>
      <family val="3"/>
      <charset val="129"/>
    </font>
    <font>
      <sz val="9"/>
      <color rgb="FF0070C0"/>
      <name val="맑은 고딕"/>
      <family val="3"/>
      <charset val="129"/>
    </font>
    <font>
      <sz val="12"/>
      <color theme="1"/>
      <name val="돋움"/>
      <family val="3"/>
      <charset val="129"/>
    </font>
    <font>
      <b/>
      <sz val="12"/>
      <color rgb="FFFF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바탕체"/>
      <family val="1"/>
      <charset val="129"/>
    </font>
    <font>
      <sz val="11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sz val="11"/>
      <color rgb="FF000000"/>
      <name val="휴먼명조"/>
      <family val="3"/>
      <charset val="129"/>
    </font>
    <font>
      <sz val="11"/>
      <color rgb="FF000000"/>
      <name val="HCI Poppy"/>
      <family val="2"/>
    </font>
    <font>
      <sz val="11"/>
      <color rgb="FF000000"/>
      <name val="함초롬바탕"/>
      <family val="1"/>
      <charset val="129"/>
    </font>
    <font>
      <b/>
      <sz val="11"/>
      <color rgb="FF000000"/>
      <name val="KoPub돋움체 Light"/>
      <family val="3"/>
      <charset val="129"/>
    </font>
    <font>
      <sz val="11"/>
      <color rgb="FF000000"/>
      <name val="KoPub돋움체 Light"/>
      <family val="3"/>
      <charset val="129"/>
    </font>
    <font>
      <b/>
      <sz val="11"/>
      <color rgb="FF000000"/>
      <name val="돋움"/>
      <family val="3"/>
      <charset val="129"/>
    </font>
    <font>
      <sz val="10"/>
      <color rgb="FF000000"/>
      <name val="바탕체"/>
      <family val="1"/>
      <charset val="129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1"/>
      <color theme="1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u/>
      <sz val="16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0"/>
      <color theme="1" tint="0.499984740745262"/>
      <name val="바탕체"/>
      <family val="1"/>
      <charset val="129"/>
    </font>
    <font>
      <sz val="10"/>
      <color theme="1" tint="0.499984740745262"/>
      <name val="바탕체"/>
      <family val="1"/>
      <charset val="129"/>
    </font>
    <font>
      <sz val="10"/>
      <color theme="1" tint="0.499984740745262"/>
      <name val="맑은 고딕"/>
      <family val="3"/>
      <charset val="129"/>
    </font>
    <font>
      <sz val="10"/>
      <color rgb="FFFFFF00"/>
      <name val="맑은 고딕"/>
      <family val="3"/>
      <charset val="129"/>
      <scheme val="minor"/>
    </font>
    <font>
      <sz val="9"/>
      <color rgb="FFFFFF00"/>
      <name val="바탕체"/>
      <family val="1"/>
      <charset val="129"/>
    </font>
    <font>
      <sz val="11"/>
      <color theme="1" tint="0.499984740745262"/>
      <name val="바탕체"/>
      <family val="1"/>
      <charset val="129"/>
    </font>
    <font>
      <b/>
      <sz val="10"/>
      <color theme="1"/>
      <name val="바탕체"/>
      <family val="1"/>
      <charset val="129"/>
    </font>
    <font>
      <b/>
      <sz val="10"/>
      <color rgb="FFFFFF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1"/>
      <name val="바탕체"/>
      <family val="1"/>
      <charset val="129"/>
    </font>
    <font>
      <sz val="10"/>
      <name val="Calibri"/>
      <family val="3"/>
    </font>
    <font>
      <sz val="10"/>
      <name val="맑은 고딕"/>
      <family val="3"/>
      <charset val="129"/>
    </font>
    <font>
      <sz val="10"/>
      <name val="Arial Unicode MS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Segoe UI Symbol"/>
      <family val="3"/>
    </font>
    <font>
      <sz val="10"/>
      <color rgb="FF000000"/>
      <name val="Calibri"/>
      <family val="3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rgb="FF000000"/>
      <name val="Arial"/>
      <family val="2"/>
    </font>
    <font>
      <b/>
      <sz val="20"/>
      <color rgb="FF000000"/>
      <name val="휴먼명조"/>
      <family val="3"/>
      <charset val="129"/>
    </font>
    <font>
      <sz val="11"/>
      <name val="휴먼명조"/>
      <family val="3"/>
      <charset val="129"/>
    </font>
    <font>
      <b/>
      <sz val="11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b/>
      <sz val="10"/>
      <color theme="1"/>
      <name val="휴먼명조"/>
      <family val="3"/>
      <charset val="129"/>
    </font>
    <font>
      <b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b/>
      <sz val="10"/>
      <name val="휴먼명조"/>
      <family val="3"/>
      <charset val="129"/>
    </font>
    <font>
      <vertAlign val="superscript"/>
      <sz val="9"/>
      <color rgb="FF000000"/>
      <name val="휴먼명조"/>
      <family val="3"/>
      <charset val="129"/>
    </font>
    <font>
      <sz val="10"/>
      <name val="휴먼명조"/>
      <family val="3"/>
      <charset val="129"/>
    </font>
    <font>
      <b/>
      <u/>
      <sz val="16"/>
      <color rgb="FF000000"/>
      <name val="휴먼명조"/>
      <family val="3"/>
      <charset val="129"/>
    </font>
    <font>
      <b/>
      <u/>
      <sz val="20"/>
      <color rgb="FF000000"/>
      <name val="휴먼명조"/>
      <family val="3"/>
      <charset val="129"/>
    </font>
    <font>
      <sz val="10"/>
      <color theme="1"/>
      <name val="휴먼명조"/>
      <family val="3"/>
      <charset val="129"/>
    </font>
    <font>
      <sz val="9"/>
      <name val="휴먼명조"/>
      <family val="3"/>
      <charset val="129"/>
    </font>
    <font>
      <b/>
      <sz val="16"/>
      <color theme="1"/>
      <name val="휴먼명조"/>
      <family val="3"/>
      <charset val="129"/>
    </font>
    <font>
      <b/>
      <sz val="11"/>
      <color theme="1"/>
      <name val="휴먼명조"/>
      <family val="3"/>
      <charset val="129"/>
    </font>
    <font>
      <b/>
      <sz val="11"/>
      <name val="휴먼명조"/>
      <family val="3"/>
      <charset val="129"/>
    </font>
    <font>
      <b/>
      <sz val="11"/>
      <color rgb="FFFF0000"/>
      <name val="휴먼명조"/>
      <family val="3"/>
      <charset val="129"/>
    </font>
    <font>
      <b/>
      <sz val="2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u/>
      <sz val="2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indexed="81"/>
      <name val="Tahoma"/>
      <family val="2"/>
    </font>
    <font>
      <sz val="10"/>
      <color theme="3"/>
      <name val="휴먼명조"/>
      <family val="3"/>
      <charset val="129"/>
    </font>
    <font>
      <sz val="10"/>
      <name val="Helvetica Neue"/>
      <family val="3"/>
      <charset val="129"/>
    </font>
    <font>
      <sz val="10"/>
      <name val="휴먼명조"/>
      <family val="3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2"/>
        <bgColor indexed="64"/>
      </patternFill>
    </fill>
  </fills>
  <borders count="1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999999"/>
      </right>
      <top style="dotted">
        <color rgb="FF999999"/>
      </top>
      <bottom style="thick">
        <color rgb="FF999999"/>
      </bottom>
      <diagonal/>
    </border>
    <border>
      <left style="thin">
        <color rgb="FF000000"/>
      </left>
      <right style="thin">
        <color rgb="FF999999"/>
      </right>
      <top style="thick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ck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dotted">
        <color rgb="FF999999"/>
      </bottom>
      <diagonal/>
    </border>
    <border>
      <left style="thin">
        <color rgb="FF000000"/>
      </left>
      <right style="thin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000000"/>
      </right>
      <top style="dotted">
        <color rgb="FF999999"/>
      </top>
      <bottom style="dotted">
        <color rgb="FF999999"/>
      </bottom>
      <diagonal/>
    </border>
    <border>
      <left style="thin">
        <color rgb="FF000000"/>
      </left>
      <right style="thin">
        <color rgb="FF999999"/>
      </right>
      <top style="dotted">
        <color rgb="FF999999"/>
      </top>
      <bottom style="thick">
        <color rgb="FF999999"/>
      </bottom>
      <diagonal/>
    </border>
    <border>
      <left style="thin">
        <color rgb="FF999999"/>
      </left>
      <right style="thin">
        <color rgb="FF000000"/>
      </right>
      <top style="dotted">
        <color rgb="FF999999"/>
      </top>
      <bottom style="thick">
        <color rgb="FF99999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999999"/>
      </bottom>
      <diagonal/>
    </border>
    <border>
      <left/>
      <right/>
      <top/>
      <bottom style="thick">
        <color rgb="FF999999"/>
      </bottom>
      <diagonal/>
    </border>
    <border>
      <left/>
      <right style="thin">
        <color rgb="FF000000"/>
      </right>
      <top/>
      <bottom style="thick">
        <color rgb="FF999999"/>
      </bottom>
      <diagonal/>
    </border>
    <border>
      <left style="thin">
        <color rgb="FF000000"/>
      </left>
      <right/>
      <top style="thick">
        <color rgb="FF999999"/>
      </top>
      <bottom/>
      <diagonal/>
    </border>
    <border>
      <left/>
      <right/>
      <top style="thick">
        <color rgb="FF999999"/>
      </top>
      <bottom/>
      <diagonal/>
    </border>
    <border>
      <left/>
      <right style="thin">
        <color rgb="FF000000"/>
      </right>
      <top style="thick">
        <color rgb="FF999999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double">
        <color theme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 style="double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hair">
        <color theme="1"/>
      </left>
      <right style="hair">
        <color theme="1"/>
      </right>
      <top style="double">
        <color auto="1"/>
      </top>
      <bottom style="double">
        <color theme="1"/>
      </bottom>
      <diagonal/>
    </border>
    <border>
      <left style="thick">
        <color rgb="FFFF0000"/>
      </left>
      <right/>
      <top style="double">
        <color auto="1"/>
      </top>
      <bottom style="thick">
        <color rgb="FFFF0000"/>
      </bottom>
      <diagonal/>
    </border>
    <border>
      <left/>
      <right/>
      <top style="double">
        <color auto="1"/>
      </top>
      <bottom style="thick">
        <color rgb="FFFF0000"/>
      </bottom>
      <diagonal/>
    </border>
    <border>
      <left/>
      <right style="thick">
        <color rgb="FFFF0000"/>
      </right>
      <top style="double">
        <color auto="1"/>
      </top>
      <bottom style="thick">
        <color rgb="FFFF0000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0" fontId="16" fillId="0" borderId="1">
      <alignment horizontal="center"/>
    </xf>
    <xf numFmtId="0" fontId="7" fillId="0" borderId="0"/>
    <xf numFmtId="0" fontId="7" fillId="0" borderId="0"/>
    <xf numFmtId="0" fontId="17" fillId="0" borderId="0" applyFont="0" applyFill="0" applyBorder="0" applyAlignment="0" applyProtection="0"/>
    <xf numFmtId="0" fontId="7" fillId="0" borderId="0"/>
    <xf numFmtId="0" fontId="19" fillId="0" borderId="0"/>
    <xf numFmtId="176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187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38" fontId="20" fillId="2" borderId="0" applyNumberFormat="0" applyBorder="0" applyAlignment="0" applyProtection="0"/>
    <xf numFmtId="0" fontId="21" fillId="0" borderId="0">
      <alignment horizontal="left"/>
    </xf>
    <xf numFmtId="0" fontId="22" fillId="0" borderId="2" applyNumberFormat="0" applyAlignment="0" applyProtection="0">
      <alignment horizontal="left" vertical="center"/>
    </xf>
    <xf numFmtId="0" fontId="22" fillId="0" borderId="3">
      <alignment horizontal="left" vertical="center"/>
    </xf>
    <xf numFmtId="10" fontId="20" fillId="2" borderId="4" applyNumberFormat="0" applyBorder="0" applyAlignment="0" applyProtection="0"/>
    <xf numFmtId="0" fontId="23" fillId="0" borderId="5"/>
    <xf numFmtId="189" fontId="2" fillId="0" borderId="0"/>
    <xf numFmtId="0" fontId="17" fillId="0" borderId="0"/>
    <xf numFmtId="10" fontId="17" fillId="0" borderId="0" applyFont="0" applyFill="0" applyBorder="0" applyAlignment="0" applyProtection="0"/>
    <xf numFmtId="0" fontId="23" fillId="0" borderId="0"/>
    <xf numFmtId="0" fontId="11" fillId="2" borderId="0" applyFill="0" applyBorder="0" applyProtection="0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40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/>
    <xf numFmtId="41" fontId="1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176" fontId="9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" fillId="0" borderId="0"/>
    <xf numFmtId="0" fontId="2" fillId="0" borderId="0"/>
    <xf numFmtId="0" fontId="73" fillId="0" borderId="0">
      <alignment vertical="center"/>
    </xf>
    <xf numFmtId="0" fontId="2" fillId="0" borderId="0"/>
    <xf numFmtId="0" fontId="56" fillId="0" borderId="0">
      <alignment horizontal="center" vertical="center"/>
    </xf>
    <xf numFmtId="0" fontId="2" fillId="0" borderId="0"/>
    <xf numFmtId="0" fontId="78" fillId="0" borderId="0">
      <alignment vertical="center"/>
    </xf>
    <xf numFmtId="0" fontId="2" fillId="0" borderId="0"/>
    <xf numFmtId="0" fontId="2" fillId="0" borderId="0"/>
    <xf numFmtId="0" fontId="1" fillId="0" borderId="0"/>
    <xf numFmtId="0" fontId="7" fillId="0" borderId="0"/>
    <xf numFmtId="0" fontId="7" fillId="0" borderId="0"/>
    <xf numFmtId="0" fontId="56" fillId="0" borderId="0"/>
    <xf numFmtId="0" fontId="7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3" fillId="0" borderId="0"/>
    <xf numFmtId="0" fontId="2" fillId="0" borderId="0"/>
    <xf numFmtId="0" fontId="13" fillId="0" borderId="0"/>
    <xf numFmtId="0" fontId="9" fillId="0" borderId="0"/>
    <xf numFmtId="0" fontId="9" fillId="0" borderId="0"/>
    <xf numFmtId="0" fontId="15" fillId="0" borderId="0"/>
    <xf numFmtId="0" fontId="11" fillId="0" borderId="0"/>
    <xf numFmtId="0" fontId="7" fillId="0" borderId="0"/>
    <xf numFmtId="0" fontId="5" fillId="0" borderId="0"/>
    <xf numFmtId="0" fontId="2" fillId="0" borderId="0"/>
    <xf numFmtId="0" fontId="15" fillId="0" borderId="0"/>
    <xf numFmtId="0" fontId="9" fillId="0" borderId="0"/>
    <xf numFmtId="0" fontId="7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5" fillId="0" borderId="0"/>
    <xf numFmtId="0" fontId="122" fillId="0" borderId="0">
      <alignment vertical="center"/>
    </xf>
    <xf numFmtId="0" fontId="1" fillId="0" borderId="0"/>
    <xf numFmtId="0" fontId="1" fillId="0" borderId="0"/>
    <xf numFmtId="41" fontId="87" fillId="0" borderId="0">
      <alignment vertical="center"/>
    </xf>
    <xf numFmtId="41" fontId="122" fillId="0" borderId="0">
      <alignment vertical="center"/>
    </xf>
    <xf numFmtId="41" fontId="1" fillId="0" borderId="0" applyFont="0" applyFill="0" applyBorder="0" applyAlignment="0" applyProtection="0"/>
    <xf numFmtId="0" fontId="129" fillId="0" borderId="2">
      <alignment horizontal="left" vertical="center"/>
    </xf>
  </cellStyleXfs>
  <cellXfs count="1751">
    <xf numFmtId="0" fontId="0" fillId="0" borderId="0" xfId="0"/>
    <xf numFmtId="0" fontId="33" fillId="2" borderId="0" xfId="68" applyFont="1" applyFill="1" applyAlignment="1">
      <alignment horizontal="left" vertical="center"/>
    </xf>
    <xf numFmtId="41" fontId="33" fillId="0" borderId="0" xfId="29" applyFont="1" applyFill="1" applyAlignment="1">
      <alignment vertical="center"/>
    </xf>
    <xf numFmtId="0" fontId="33" fillId="0" borderId="0" xfId="0" applyFont="1" applyAlignment="1">
      <alignment vertical="center"/>
    </xf>
    <xf numFmtId="0" fontId="35" fillId="0" borderId="0" xfId="0" applyFont="1" applyAlignment="1">
      <alignment horizontal="centerContinuous" vertical="center"/>
    </xf>
    <xf numFmtId="0" fontId="35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6" fillId="3" borderId="8" xfId="0" applyFont="1" applyFill="1" applyBorder="1" applyAlignment="1">
      <alignment horizontal="center" vertical="center"/>
    </xf>
    <xf numFmtId="0" fontId="36" fillId="5" borderId="4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3" borderId="10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29" applyNumberFormat="1" applyFont="1" applyFill="1" applyBorder="1" applyAlignment="1">
      <alignment horizontal="center" vertical="center" wrapText="1"/>
    </xf>
    <xf numFmtId="41" fontId="33" fillId="0" borderId="13" xfId="29" applyFont="1" applyFill="1" applyBorder="1" applyAlignment="1">
      <alignment horizontal="center" vertical="center"/>
    </xf>
    <xf numFmtId="41" fontId="33" fillId="0" borderId="13" xfId="29" applyFont="1" applyFill="1" applyBorder="1" applyAlignment="1">
      <alignment vertical="center"/>
    </xf>
    <xf numFmtId="0" fontId="33" fillId="0" borderId="13" xfId="29" applyNumberFormat="1" applyFont="1" applyFill="1" applyBorder="1" applyAlignment="1">
      <alignment horizontal="center" vertical="center"/>
    </xf>
    <xf numFmtId="10" fontId="33" fillId="0" borderId="0" xfId="27" applyNumberFormat="1" applyFont="1" applyFill="1" applyBorder="1" applyAlignment="1">
      <alignment vertical="center"/>
    </xf>
    <xf numFmtId="41" fontId="33" fillId="0" borderId="0" xfId="29" applyFont="1" applyFill="1" applyBorder="1" applyAlignment="1">
      <alignment vertical="center"/>
    </xf>
    <xf numFmtId="41" fontId="33" fillId="0" borderId="4" xfId="29" applyFont="1" applyFill="1" applyBorder="1" applyAlignment="1">
      <alignment horizontal="center" vertical="center"/>
    </xf>
    <xf numFmtId="41" fontId="33" fillId="0" borderId="4" xfId="29" applyFont="1" applyFill="1" applyBorder="1" applyAlignment="1">
      <alignment vertical="center"/>
    </xf>
    <xf numFmtId="0" fontId="33" fillId="0" borderId="4" xfId="29" applyNumberFormat="1" applyFont="1" applyFill="1" applyBorder="1" applyAlignment="1">
      <alignment horizontal="center" vertical="center"/>
    </xf>
    <xf numFmtId="0" fontId="33" fillId="0" borderId="0" xfId="81" quotePrefix="1" applyFont="1" applyAlignment="1">
      <alignment horizontal="left" vertical="center"/>
    </xf>
    <xf numFmtId="43" fontId="33" fillId="0" borderId="0" xfId="29" applyNumberFormat="1" applyFont="1" applyFill="1" applyAlignment="1">
      <alignment vertical="center"/>
    </xf>
    <xf numFmtId="0" fontId="33" fillId="0" borderId="0" xfId="0" applyFont="1"/>
    <xf numFmtId="0" fontId="37" fillId="0" borderId="0" xfId="0" applyFont="1"/>
    <xf numFmtId="0" fontId="33" fillId="0" borderId="11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3" fillId="0" borderId="0" xfId="68" applyFont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Continuous" vertical="center"/>
    </xf>
    <xf numFmtId="0" fontId="35" fillId="2" borderId="0" xfId="0" applyFont="1" applyFill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41" fontId="33" fillId="2" borderId="0" xfId="29" applyFont="1" applyFill="1" applyAlignment="1">
      <alignment horizontal="center" vertical="center"/>
    </xf>
    <xf numFmtId="0" fontId="33" fillId="2" borderId="0" xfId="0" applyFont="1" applyFill="1" applyAlignment="1">
      <alignment vertical="center"/>
    </xf>
    <xf numFmtId="41" fontId="35" fillId="2" borderId="0" xfId="29" applyFont="1" applyFill="1" applyAlignment="1">
      <alignment horizontal="centerContinuous" vertical="center"/>
    </xf>
    <xf numFmtId="0" fontId="35" fillId="2" borderId="0" xfId="0" applyFont="1" applyFill="1" applyAlignment="1">
      <alignment vertical="center"/>
    </xf>
    <xf numFmtId="0" fontId="33" fillId="2" borderId="0" xfId="0" applyFont="1" applyFill="1" applyAlignment="1">
      <alignment horizontal="left" vertical="center"/>
    </xf>
    <xf numFmtId="41" fontId="33" fillId="2" borderId="0" xfId="29" applyFont="1" applyFill="1" applyBorder="1" applyAlignment="1">
      <alignment horizontal="right" vertical="center"/>
    </xf>
    <xf numFmtId="0" fontId="33" fillId="2" borderId="14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33" fillId="6" borderId="16" xfId="0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33" fillId="6" borderId="17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distributed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20" xfId="0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41" fontId="33" fillId="2" borderId="9" xfId="29" applyFont="1" applyFill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41" fontId="33" fillId="0" borderId="0" xfId="0" applyNumberFormat="1" applyFont="1" applyAlignment="1">
      <alignment horizontal="center" vertical="center"/>
    </xf>
    <xf numFmtId="41" fontId="33" fillId="0" borderId="0" xfId="29" applyFont="1" applyFill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41" fontId="33" fillId="0" borderId="13" xfId="29" applyFont="1" applyFill="1" applyBorder="1" applyAlignment="1">
      <alignment horizontal="right" vertical="center" shrinkToFit="1"/>
    </xf>
    <xf numFmtId="41" fontId="33" fillId="0" borderId="13" xfId="29" applyFont="1" applyFill="1" applyBorder="1" applyAlignment="1">
      <alignment horizontal="left" vertical="center" wrapText="1"/>
    </xf>
    <xf numFmtId="41" fontId="33" fillId="0" borderId="0" xfId="29" applyFont="1" applyFill="1" applyBorder="1" applyAlignment="1">
      <alignment horizontal="left" vertical="center" wrapText="1"/>
    </xf>
    <xf numFmtId="181" fontId="33" fillId="0" borderId="0" xfId="29" applyNumberFormat="1" applyFont="1" applyFill="1" applyBorder="1" applyAlignment="1">
      <alignment horizontal="center" vertical="center" wrapText="1"/>
    </xf>
    <xf numFmtId="41" fontId="33" fillId="2" borderId="19" xfId="29" applyFont="1" applyFill="1" applyBorder="1" applyAlignment="1">
      <alignment horizontal="right" vertical="center" shrinkToFit="1"/>
    </xf>
    <xf numFmtId="41" fontId="33" fillId="2" borderId="11" xfId="29" applyFont="1" applyFill="1" applyBorder="1" applyAlignment="1">
      <alignment horizontal="right" vertical="center" shrinkToFit="1"/>
    </xf>
    <xf numFmtId="41" fontId="33" fillId="2" borderId="11" xfId="29" applyFont="1" applyFill="1" applyBorder="1" applyAlignment="1">
      <alignment horizontal="left" vertical="center" wrapText="1"/>
    </xf>
    <xf numFmtId="0" fontId="33" fillId="0" borderId="0" xfId="0" applyFont="1" applyAlignment="1">
      <alignment horizontal="centerContinuous" vertical="center"/>
    </xf>
    <xf numFmtId="0" fontId="33" fillId="0" borderId="17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0" fontId="33" fillId="0" borderId="13" xfId="29" applyNumberFormat="1" applyFont="1" applyFill="1" applyBorder="1" applyAlignment="1">
      <alignment horizontal="center" vertical="center" wrapText="1"/>
    </xf>
    <xf numFmtId="180" fontId="33" fillId="2" borderId="11" xfId="29" applyNumberFormat="1" applyFont="1" applyFill="1" applyBorder="1" applyAlignment="1">
      <alignment horizontal="center" vertical="center" wrapText="1"/>
    </xf>
    <xf numFmtId="41" fontId="33" fillId="2" borderId="16" xfId="29" applyFont="1" applyFill="1" applyBorder="1" applyAlignment="1">
      <alignment horizontal="center" vertical="center"/>
    </xf>
    <xf numFmtId="0" fontId="32" fillId="2" borderId="0" xfId="71" applyFont="1" applyFill="1"/>
    <xf numFmtId="41" fontId="32" fillId="2" borderId="0" xfId="45" applyFont="1" applyFill="1" applyBorder="1"/>
    <xf numFmtId="0" fontId="41" fillId="2" borderId="0" xfId="71" applyFont="1" applyFill="1" applyAlignment="1">
      <alignment horizontal="centerContinuous"/>
    </xf>
    <xf numFmtId="41" fontId="41" fillId="2" borderId="0" xfId="45" applyFont="1" applyFill="1" applyBorder="1" applyAlignment="1">
      <alignment horizontal="centerContinuous"/>
    </xf>
    <xf numFmtId="41" fontId="41" fillId="2" borderId="0" xfId="45" applyFont="1" applyFill="1" applyAlignment="1">
      <alignment horizontal="centerContinuous"/>
    </xf>
    <xf numFmtId="0" fontId="41" fillId="2" borderId="0" xfId="71" applyFont="1" applyFill="1"/>
    <xf numFmtId="0" fontId="32" fillId="2" borderId="0" xfId="73" applyFont="1" applyFill="1"/>
    <xf numFmtId="0" fontId="33" fillId="0" borderId="0" xfId="72" applyFont="1" applyAlignment="1">
      <alignment horizontal="left" vertical="center"/>
    </xf>
    <xf numFmtId="0" fontId="33" fillId="0" borderId="0" xfId="72" applyFont="1" applyAlignment="1">
      <alignment vertical="center"/>
    </xf>
    <xf numFmtId="176" fontId="33" fillId="0" borderId="0" xfId="47" applyFont="1" applyFill="1" applyAlignment="1">
      <alignment vertical="center"/>
    </xf>
    <xf numFmtId="178" fontId="33" fillId="0" borderId="0" xfId="47" applyNumberFormat="1" applyFont="1" applyFill="1" applyAlignment="1">
      <alignment vertical="center"/>
    </xf>
    <xf numFmtId="0" fontId="33" fillId="0" borderId="0" xfId="72" quotePrefix="1" applyFont="1" applyAlignment="1">
      <alignment horizontal="right" vertical="center"/>
    </xf>
    <xf numFmtId="0" fontId="33" fillId="0" borderId="16" xfId="72" applyFont="1" applyBorder="1" applyAlignment="1">
      <alignment horizontal="centerContinuous" vertical="center"/>
    </xf>
    <xf numFmtId="0" fontId="33" fillId="0" borderId="23" xfId="72" applyFont="1" applyBorder="1" applyAlignment="1">
      <alignment horizontal="centerContinuous" vertical="center"/>
    </xf>
    <xf numFmtId="0" fontId="33" fillId="0" borderId="16" xfId="72" applyFont="1" applyBorder="1" applyAlignment="1">
      <alignment horizontal="center" vertical="center"/>
    </xf>
    <xf numFmtId="0" fontId="33" fillId="0" borderId="3" xfId="72" quotePrefix="1" applyFont="1" applyBorder="1" applyAlignment="1">
      <alignment horizontal="distributed" vertical="center"/>
    </xf>
    <xf numFmtId="0" fontId="33" fillId="0" borderId="17" xfId="72" applyFont="1" applyBorder="1" applyAlignment="1">
      <alignment horizontal="center" vertical="center"/>
    </xf>
    <xf numFmtId="176" fontId="33" fillId="0" borderId="24" xfId="47" applyFont="1" applyFill="1" applyBorder="1" applyAlignment="1">
      <alignment horizontal="center" vertical="center"/>
    </xf>
    <xf numFmtId="178" fontId="33" fillId="0" borderId="4" xfId="47" applyNumberFormat="1" applyFont="1" applyFill="1" applyBorder="1" applyAlignment="1">
      <alignment horizontal="center" vertical="center"/>
    </xf>
    <xf numFmtId="0" fontId="33" fillId="2" borderId="25" xfId="72" applyFont="1" applyFill="1" applyBorder="1" applyAlignment="1">
      <alignment horizontal="center" vertical="center"/>
    </xf>
    <xf numFmtId="0" fontId="33" fillId="0" borderId="0" xfId="72" applyFont="1"/>
    <xf numFmtId="0" fontId="32" fillId="0" borderId="16" xfId="73" applyFont="1" applyBorder="1" applyAlignment="1">
      <alignment horizontal="left" vertical="center"/>
    </xf>
    <xf numFmtId="0" fontId="32" fillId="0" borderId="23" xfId="73" applyFont="1" applyBorder="1" applyAlignment="1">
      <alignment horizontal="left" vertical="center"/>
    </xf>
    <xf numFmtId="0" fontId="32" fillId="0" borderId="3" xfId="75" applyFont="1" applyBorder="1" applyAlignment="1">
      <alignment horizontal="distributed" vertical="center"/>
    </xf>
    <xf numFmtId="0" fontId="32" fillId="0" borderId="17" xfId="73" applyFont="1" applyBorder="1" applyAlignment="1">
      <alignment horizontal="distributed" vertical="center"/>
    </xf>
    <xf numFmtId="176" fontId="32" fillId="0" borderId="26" xfId="47" applyFont="1" applyFill="1" applyBorder="1" applyAlignment="1">
      <alignment vertical="center"/>
    </xf>
    <xf numFmtId="178" fontId="32" fillId="0" borderId="4" xfId="47" applyNumberFormat="1" applyFont="1" applyFill="1" applyBorder="1" applyAlignment="1">
      <alignment vertical="center"/>
    </xf>
    <xf numFmtId="0" fontId="32" fillId="0" borderId="25" xfId="73" applyFont="1" applyBorder="1" applyAlignment="1">
      <alignment vertical="center"/>
    </xf>
    <xf numFmtId="0" fontId="32" fillId="0" borderId="0" xfId="73" applyFont="1"/>
    <xf numFmtId="3" fontId="32" fillId="0" borderId="0" xfId="73" applyNumberFormat="1" applyFont="1"/>
    <xf numFmtId="43" fontId="32" fillId="0" borderId="0" xfId="73" applyNumberFormat="1" applyFont="1"/>
    <xf numFmtId="0" fontId="32" fillId="0" borderId="27" xfId="73" applyFont="1" applyBorder="1" applyAlignment="1">
      <alignment horizontal="left" vertical="center"/>
    </xf>
    <xf numFmtId="0" fontId="32" fillId="0" borderId="28" xfId="73" applyFont="1" applyBorder="1" applyAlignment="1">
      <alignment horizontal="left" vertical="center"/>
    </xf>
    <xf numFmtId="0" fontId="32" fillId="0" borderId="29" xfId="75" applyFont="1" applyBorder="1" applyAlignment="1">
      <alignment horizontal="distributed" vertical="center"/>
    </xf>
    <xf numFmtId="0" fontId="32" fillId="0" borderId="30" xfId="73" applyFont="1" applyBorder="1" applyAlignment="1">
      <alignment horizontal="distributed" vertical="center"/>
    </xf>
    <xf numFmtId="176" fontId="32" fillId="0" borderId="31" xfId="47" applyFont="1" applyFill="1" applyBorder="1" applyAlignment="1">
      <alignment vertical="center"/>
    </xf>
    <xf numFmtId="178" fontId="32" fillId="0" borderId="9" xfId="47" applyNumberFormat="1" applyFont="1" applyFill="1" applyBorder="1" applyAlignment="1">
      <alignment vertical="center"/>
    </xf>
    <xf numFmtId="0" fontId="32" fillId="0" borderId="32" xfId="73" applyFont="1" applyBorder="1" applyAlignment="1">
      <alignment vertical="center"/>
    </xf>
    <xf numFmtId="0" fontId="32" fillId="0" borderId="20" xfId="73" applyFont="1" applyBorder="1" applyAlignment="1">
      <alignment horizontal="left" vertical="center"/>
    </xf>
    <xf numFmtId="0" fontId="32" fillId="0" borderId="33" xfId="73" applyFont="1" applyBorder="1" applyAlignment="1">
      <alignment horizontal="left" vertical="center"/>
    </xf>
    <xf numFmtId="0" fontId="32" fillId="0" borderId="0" xfId="75" applyFont="1" applyAlignment="1">
      <alignment horizontal="distributed" vertical="center"/>
    </xf>
    <xf numFmtId="0" fontId="32" fillId="0" borderId="22" xfId="73" applyFont="1" applyBorder="1" applyAlignment="1">
      <alignment horizontal="distributed" vertical="center"/>
    </xf>
    <xf numFmtId="176" fontId="32" fillId="0" borderId="34" xfId="47" applyFont="1" applyFill="1" applyBorder="1" applyAlignment="1">
      <alignment vertical="center"/>
    </xf>
    <xf numFmtId="178" fontId="32" fillId="0" borderId="13" xfId="47" applyNumberFormat="1" applyFont="1" applyFill="1" applyBorder="1" applyAlignment="1">
      <alignment vertical="center"/>
    </xf>
    <xf numFmtId="0" fontId="32" fillId="0" borderId="35" xfId="73" applyFont="1" applyBorder="1" applyAlignment="1">
      <alignment vertical="center"/>
    </xf>
    <xf numFmtId="0" fontId="32" fillId="0" borderId="35" xfId="73" applyFont="1" applyBorder="1" applyAlignment="1">
      <alignment horizontal="center" vertical="center"/>
    </xf>
    <xf numFmtId="176" fontId="33" fillId="0" borderId="34" xfId="47" applyFont="1" applyFill="1" applyBorder="1" applyAlignment="1">
      <alignment vertical="center"/>
    </xf>
    <xf numFmtId="0" fontId="32" fillId="0" borderId="36" xfId="75" applyFont="1" applyBorder="1" applyAlignment="1">
      <alignment horizontal="distributed" vertical="center"/>
    </xf>
    <xf numFmtId="176" fontId="33" fillId="0" borderId="26" xfId="47" applyFont="1" applyFill="1" applyBorder="1" applyAlignment="1">
      <alignment vertical="center"/>
    </xf>
    <xf numFmtId="176" fontId="33" fillId="0" borderId="31" xfId="47" applyFont="1" applyFill="1" applyBorder="1" applyAlignment="1">
      <alignment vertical="center"/>
    </xf>
    <xf numFmtId="0" fontId="32" fillId="0" borderId="12" xfId="73" applyFont="1" applyBorder="1" applyAlignment="1">
      <alignment horizontal="left" vertical="center"/>
    </xf>
    <xf numFmtId="0" fontId="32" fillId="0" borderId="22" xfId="73" applyFont="1" applyBorder="1" applyAlignment="1">
      <alignment horizontal="left" vertical="center"/>
    </xf>
    <xf numFmtId="176" fontId="32" fillId="0" borderId="16" xfId="47" applyFont="1" applyFill="1" applyBorder="1" applyAlignment="1">
      <alignment vertical="center"/>
    </xf>
    <xf numFmtId="0" fontId="38" fillId="2" borderId="0" xfId="72" applyFont="1" applyFill="1" applyAlignment="1">
      <alignment horizontal="left" vertical="center"/>
    </xf>
    <xf numFmtId="0" fontId="32" fillId="2" borderId="0" xfId="73" applyFont="1" applyFill="1" applyAlignment="1">
      <alignment horizontal="left"/>
    </xf>
    <xf numFmtId="176" fontId="32" fillId="2" borderId="0" xfId="47" applyFont="1" applyFill="1"/>
    <xf numFmtId="178" fontId="32" fillId="2" borderId="0" xfId="47" applyNumberFormat="1" applyFont="1" applyFill="1"/>
    <xf numFmtId="0" fontId="32" fillId="2" borderId="0" xfId="67" applyFont="1" applyFill="1" applyAlignment="1">
      <alignment vertical="center"/>
    </xf>
    <xf numFmtId="0" fontId="41" fillId="0" borderId="0" xfId="68" applyFont="1" applyAlignment="1">
      <alignment horizontal="centerContinuous" vertical="center"/>
    </xf>
    <xf numFmtId="0" fontId="41" fillId="2" borderId="0" xfId="67" applyFont="1" applyFill="1" applyAlignment="1">
      <alignment horizontal="centerContinuous" vertical="center"/>
    </xf>
    <xf numFmtId="0" fontId="41" fillId="2" borderId="0" xfId="67" applyFont="1" applyFill="1" applyAlignment="1">
      <alignment vertical="center"/>
    </xf>
    <xf numFmtId="0" fontId="32" fillId="2" borderId="16" xfId="67" applyFont="1" applyFill="1" applyBorder="1" applyAlignment="1">
      <alignment vertical="center"/>
    </xf>
    <xf numFmtId="0" fontId="32" fillId="2" borderId="3" xfId="67" applyFont="1" applyFill="1" applyBorder="1" applyAlignment="1">
      <alignment horizontal="center" vertical="center"/>
    </xf>
    <xf numFmtId="0" fontId="32" fillId="2" borderId="3" xfId="67" applyFont="1" applyFill="1" applyBorder="1" applyAlignment="1">
      <alignment vertical="center"/>
    </xf>
    <xf numFmtId="0" fontId="32" fillId="2" borderId="4" xfId="67" applyFont="1" applyFill="1" applyBorder="1" applyAlignment="1">
      <alignment horizontal="center" vertical="center" wrapText="1"/>
    </xf>
    <xf numFmtId="0" fontId="32" fillId="2" borderId="4" xfId="67" applyFont="1" applyFill="1" applyBorder="1" applyAlignment="1">
      <alignment horizontal="center" vertical="center"/>
    </xf>
    <xf numFmtId="0" fontId="32" fillId="2" borderId="14" xfId="67" applyFont="1" applyFill="1" applyBorder="1" applyAlignment="1">
      <alignment vertical="center"/>
    </xf>
    <xf numFmtId="0" fontId="32" fillId="2" borderId="15" xfId="67" applyFont="1" applyFill="1" applyBorder="1" applyAlignment="1">
      <alignment vertical="center"/>
    </xf>
    <xf numFmtId="0" fontId="32" fillId="2" borderId="12" xfId="67" applyFont="1" applyFill="1" applyBorder="1" applyAlignment="1">
      <alignment vertical="center"/>
    </xf>
    <xf numFmtId="0" fontId="32" fillId="2" borderId="22" xfId="67" applyFont="1" applyFill="1" applyBorder="1" applyAlignment="1">
      <alignment vertical="center"/>
    </xf>
    <xf numFmtId="0" fontId="32" fillId="2" borderId="20" xfId="67" applyFont="1" applyFill="1" applyBorder="1" applyAlignment="1">
      <alignment vertical="center"/>
    </xf>
    <xf numFmtId="0" fontId="32" fillId="2" borderId="0" xfId="67" applyFont="1" applyFill="1" applyAlignment="1">
      <alignment horizontal="distributed" vertical="center"/>
    </xf>
    <xf numFmtId="0" fontId="32" fillId="2" borderId="22" xfId="29" applyNumberFormat="1" applyFont="1" applyFill="1" applyBorder="1" applyAlignment="1">
      <alignment horizontal="center" vertical="center"/>
    </xf>
    <xf numFmtId="9" fontId="32" fillId="2" borderId="22" xfId="67" applyNumberFormat="1" applyFont="1" applyFill="1" applyBorder="1" applyAlignment="1">
      <alignment vertical="center"/>
    </xf>
    <xf numFmtId="9" fontId="32" fillId="2" borderId="22" xfId="67" applyNumberFormat="1" applyFont="1" applyFill="1" applyBorder="1" applyAlignment="1">
      <alignment horizontal="center" vertical="center"/>
    </xf>
    <xf numFmtId="0" fontId="32" fillId="2" borderId="18" xfId="67" applyFont="1" applyFill="1" applyBorder="1" applyAlignment="1">
      <alignment vertical="center"/>
    </xf>
    <xf numFmtId="0" fontId="32" fillId="2" borderId="19" xfId="67" applyFont="1" applyFill="1" applyBorder="1" applyAlignment="1">
      <alignment horizontal="distributed" vertical="center"/>
    </xf>
    <xf numFmtId="0" fontId="32" fillId="2" borderId="21" xfId="67" applyFont="1" applyFill="1" applyBorder="1" applyAlignment="1">
      <alignment vertical="center"/>
    </xf>
    <xf numFmtId="9" fontId="32" fillId="2" borderId="21" xfId="67" applyNumberFormat="1" applyFont="1" applyFill="1" applyBorder="1" applyAlignment="1">
      <alignment horizontal="center" vertical="center"/>
    </xf>
    <xf numFmtId="0" fontId="33" fillId="2" borderId="0" xfId="68" applyFont="1" applyFill="1"/>
    <xf numFmtId="182" fontId="33" fillId="2" borderId="0" xfId="68" applyNumberFormat="1" applyFont="1" applyFill="1"/>
    <xf numFmtId="41" fontId="33" fillId="2" borderId="0" xfId="46" applyFont="1" applyFill="1"/>
    <xf numFmtId="0" fontId="35" fillId="2" borderId="0" xfId="68" applyFont="1" applyFill="1" applyAlignment="1">
      <alignment horizontal="centerContinuous" vertical="center"/>
    </xf>
    <xf numFmtId="0" fontId="35" fillId="2" borderId="0" xfId="68" applyFont="1" applyFill="1" applyAlignment="1">
      <alignment vertical="center"/>
    </xf>
    <xf numFmtId="0" fontId="33" fillId="2" borderId="0" xfId="68" quotePrefix="1" applyFont="1" applyFill="1" applyAlignment="1">
      <alignment horizontal="left"/>
    </xf>
    <xf numFmtId="176" fontId="33" fillId="2" borderId="0" xfId="68" quotePrefix="1" applyNumberFormat="1" applyFont="1" applyFill="1" applyAlignment="1">
      <alignment horizontal="center"/>
    </xf>
    <xf numFmtId="176" fontId="33" fillId="2" borderId="0" xfId="68" applyNumberFormat="1" applyFont="1" applyFill="1" applyAlignment="1">
      <alignment horizontal="left"/>
    </xf>
    <xf numFmtId="41" fontId="33" fillId="2" borderId="0" xfId="29" applyFont="1" applyFill="1" applyAlignment="1">
      <alignment horizontal="right" vertical="center"/>
    </xf>
    <xf numFmtId="0" fontId="33" fillId="2" borderId="9" xfId="68" applyFont="1" applyFill="1" applyBorder="1" applyAlignment="1">
      <alignment horizontal="centerContinuous" vertical="center"/>
    </xf>
    <xf numFmtId="41" fontId="33" fillId="2" borderId="9" xfId="46" applyFont="1" applyFill="1" applyBorder="1" applyAlignment="1">
      <alignment horizontal="center" vertical="center"/>
    </xf>
    <xf numFmtId="0" fontId="33" fillId="2" borderId="0" xfId="68" applyFont="1" applyFill="1" applyAlignment="1">
      <alignment vertical="center"/>
    </xf>
    <xf numFmtId="0" fontId="33" fillId="2" borderId="4" xfId="68" applyFont="1" applyFill="1" applyBorder="1" applyAlignment="1">
      <alignment horizontal="centerContinuous" vertical="center"/>
    </xf>
    <xf numFmtId="0" fontId="33" fillId="2" borderId="9" xfId="68" applyFont="1" applyFill="1" applyBorder="1" applyAlignment="1">
      <alignment vertical="center"/>
    </xf>
    <xf numFmtId="182" fontId="33" fillId="2" borderId="9" xfId="68" applyNumberFormat="1" applyFont="1" applyFill="1" applyBorder="1" applyAlignment="1">
      <alignment horizontal="center" vertical="center"/>
    </xf>
    <xf numFmtId="182" fontId="33" fillId="2" borderId="9" xfId="68" applyNumberFormat="1" applyFont="1" applyFill="1" applyBorder="1" applyAlignment="1">
      <alignment horizontal="centerContinuous" vertical="center"/>
    </xf>
    <xf numFmtId="41" fontId="33" fillId="2" borderId="13" xfId="68" applyNumberFormat="1" applyFont="1" applyFill="1" applyBorder="1" applyAlignment="1">
      <alignment horizontal="center" vertical="center" shrinkToFit="1"/>
    </xf>
    <xf numFmtId="41" fontId="33" fillId="2" borderId="13" xfId="29" applyFont="1" applyFill="1" applyBorder="1" applyAlignment="1">
      <alignment horizontal="centerContinuous" vertical="center"/>
    </xf>
    <xf numFmtId="181" fontId="33" fillId="2" borderId="0" xfId="68" applyNumberFormat="1" applyFont="1" applyFill="1" applyAlignment="1">
      <alignment horizontal="center" vertical="center"/>
    </xf>
    <xf numFmtId="41" fontId="33" fillId="2" borderId="4" xfId="68" applyNumberFormat="1" applyFont="1" applyFill="1" applyBorder="1" applyAlignment="1">
      <alignment horizontal="center" vertical="center"/>
    </xf>
    <xf numFmtId="41" fontId="33" fillId="2" borderId="4" xfId="29" applyFont="1" applyFill="1" applyBorder="1" applyAlignment="1">
      <alignment horizontal="centerContinuous" vertical="center"/>
    </xf>
    <xf numFmtId="181" fontId="33" fillId="2" borderId="3" xfId="68" applyNumberFormat="1" applyFont="1" applyFill="1" applyBorder="1" applyAlignment="1">
      <alignment horizontal="center" vertical="center"/>
    </xf>
    <xf numFmtId="182" fontId="33" fillId="2" borderId="0" xfId="68" applyNumberFormat="1" applyFont="1" applyFill="1" applyAlignment="1">
      <alignment vertical="center"/>
    </xf>
    <xf numFmtId="41" fontId="33" fillId="2" borderId="0" xfId="46" applyFont="1" applyFill="1" applyAlignment="1">
      <alignment vertical="center"/>
    </xf>
    <xf numFmtId="0" fontId="33" fillId="2" borderId="0" xfId="68" quotePrefix="1" applyFont="1" applyFill="1" applyAlignment="1">
      <alignment horizontal="left" vertical="center"/>
    </xf>
    <xf numFmtId="0" fontId="33" fillId="0" borderId="0" xfId="65" applyFont="1" applyAlignment="1">
      <alignment vertical="center"/>
    </xf>
    <xf numFmtId="0" fontId="35" fillId="0" borderId="0" xfId="68" applyFont="1" applyAlignment="1">
      <alignment horizontal="centerContinuous" vertical="center"/>
    </xf>
    <xf numFmtId="0" fontId="33" fillId="0" borderId="0" xfId="65" applyFont="1" applyAlignment="1">
      <alignment horizontal="centerContinuous" vertical="center"/>
    </xf>
    <xf numFmtId="0" fontId="33" fillId="0" borderId="0" xfId="65" applyFont="1" applyAlignment="1">
      <alignment horizontal="left" vertical="center"/>
    </xf>
    <xf numFmtId="0" fontId="33" fillId="0" borderId="0" xfId="68" applyFont="1" applyAlignment="1">
      <alignment horizontal="centerContinuous" vertical="center"/>
    </xf>
    <xf numFmtId="0" fontId="33" fillId="0" borderId="16" xfId="65" applyFont="1" applyBorder="1" applyAlignment="1">
      <alignment vertical="center"/>
    </xf>
    <xf numFmtId="0" fontId="33" fillId="0" borderId="3" xfId="65" applyFont="1" applyBorder="1" applyAlignment="1">
      <alignment horizontal="center" vertical="center"/>
    </xf>
    <xf numFmtId="0" fontId="33" fillId="0" borderId="3" xfId="65" applyFont="1" applyBorder="1" applyAlignment="1">
      <alignment vertical="center"/>
    </xf>
    <xf numFmtId="0" fontId="33" fillId="0" borderId="4" xfId="66" applyFont="1" applyBorder="1" applyAlignment="1">
      <alignment horizontal="center" vertical="center" wrapText="1"/>
    </xf>
    <xf numFmtId="0" fontId="33" fillId="0" borderId="4" xfId="65" applyFont="1" applyBorder="1" applyAlignment="1">
      <alignment horizontal="center" vertical="center" wrapText="1"/>
    </xf>
    <xf numFmtId="0" fontId="33" fillId="0" borderId="4" xfId="65" applyFont="1" applyBorder="1" applyAlignment="1">
      <alignment horizontal="center" vertical="center"/>
    </xf>
    <xf numFmtId="0" fontId="33" fillId="0" borderId="14" xfId="65" applyFont="1" applyBorder="1" applyAlignment="1">
      <alignment vertical="center"/>
    </xf>
    <xf numFmtId="0" fontId="33" fillId="0" borderId="15" xfId="65" applyFont="1" applyBorder="1" applyAlignment="1">
      <alignment vertical="center"/>
    </xf>
    <xf numFmtId="0" fontId="33" fillId="0" borderId="12" xfId="65" applyFont="1" applyBorder="1" applyAlignment="1">
      <alignment vertical="center"/>
    </xf>
    <xf numFmtId="0" fontId="33" fillId="0" borderId="22" xfId="65" applyFont="1" applyBorder="1" applyAlignment="1">
      <alignment vertical="center"/>
    </xf>
    <xf numFmtId="0" fontId="33" fillId="0" borderId="20" xfId="65" applyFont="1" applyBorder="1" applyAlignment="1">
      <alignment vertical="center"/>
    </xf>
    <xf numFmtId="0" fontId="33" fillId="0" borderId="0" xfId="65" applyFont="1" applyAlignment="1">
      <alignment horizontal="distributed" vertical="center"/>
    </xf>
    <xf numFmtId="0" fontId="33" fillId="0" borderId="22" xfId="65" applyFont="1" applyBorder="1" applyAlignment="1">
      <alignment horizontal="center" vertical="center"/>
    </xf>
    <xf numFmtId="9" fontId="33" fillId="0" borderId="22" xfId="65" applyNumberFormat="1" applyFont="1" applyBorder="1" applyAlignment="1">
      <alignment vertical="center"/>
    </xf>
    <xf numFmtId="9" fontId="33" fillId="0" borderId="22" xfId="65" applyNumberFormat="1" applyFont="1" applyBorder="1" applyAlignment="1">
      <alignment horizontal="center" vertical="center"/>
    </xf>
    <xf numFmtId="0" fontId="33" fillId="0" borderId="18" xfId="65" applyFont="1" applyBorder="1" applyAlignment="1">
      <alignment vertical="center"/>
    </xf>
    <xf numFmtId="0" fontId="33" fillId="0" borderId="19" xfId="65" applyFont="1" applyBorder="1" applyAlignment="1">
      <alignment horizontal="distributed" vertical="center"/>
    </xf>
    <xf numFmtId="0" fontId="33" fillId="0" borderId="21" xfId="65" applyFont="1" applyBorder="1" applyAlignment="1">
      <alignment vertical="center"/>
    </xf>
    <xf numFmtId="9" fontId="33" fillId="0" borderId="21" xfId="65" applyNumberFormat="1" applyFont="1" applyBorder="1" applyAlignment="1">
      <alignment horizontal="center" vertical="center"/>
    </xf>
    <xf numFmtId="0" fontId="32" fillId="0" borderId="0" xfId="81" quotePrefix="1" applyFont="1" applyAlignment="1">
      <alignment horizontal="left" vertical="center"/>
    </xf>
    <xf numFmtId="0" fontId="32" fillId="0" borderId="0" xfId="81" applyFont="1" applyAlignment="1">
      <alignment vertical="center"/>
    </xf>
    <xf numFmtId="41" fontId="32" fillId="0" borderId="0" xfId="29" quotePrefix="1" applyFont="1" applyBorder="1" applyAlignment="1">
      <alignment horizontal="left" vertical="center"/>
    </xf>
    <xf numFmtId="176" fontId="32" fillId="0" borderId="0" xfId="81" applyNumberFormat="1" applyFont="1" applyAlignment="1">
      <alignment vertical="center"/>
    </xf>
    <xf numFmtId="0" fontId="41" fillId="0" borderId="0" xfId="81" applyFont="1" applyAlignment="1">
      <alignment horizontal="centerContinuous" vertical="center"/>
    </xf>
    <xf numFmtId="41" fontId="41" fillId="0" borderId="0" xfId="29" applyFont="1" applyBorder="1" applyAlignment="1">
      <alignment horizontal="centerContinuous" vertical="center"/>
    </xf>
    <xf numFmtId="176" fontId="41" fillId="0" borderId="0" xfId="81" applyNumberFormat="1" applyFont="1" applyAlignment="1">
      <alignment horizontal="centerContinuous" vertical="center"/>
    </xf>
    <xf numFmtId="0" fontId="41" fillId="0" borderId="0" xfId="81" applyFont="1" applyAlignment="1">
      <alignment vertical="center"/>
    </xf>
    <xf numFmtId="0" fontId="32" fillId="0" borderId="0" xfId="81" applyFont="1" applyAlignment="1">
      <alignment horizontal="centerContinuous"/>
    </xf>
    <xf numFmtId="41" fontId="32" fillId="0" borderId="0" xfId="29" applyFont="1" applyBorder="1" applyAlignment="1">
      <alignment horizontal="centerContinuous"/>
    </xf>
    <xf numFmtId="176" fontId="32" fillId="0" borderId="0" xfId="81" applyNumberFormat="1" applyFont="1" applyAlignment="1">
      <alignment horizontal="centerContinuous"/>
    </xf>
    <xf numFmtId="0" fontId="32" fillId="0" borderId="0" xfId="81" applyFont="1"/>
    <xf numFmtId="0" fontId="32" fillId="0" borderId="0" xfId="69" applyFont="1" applyAlignment="1">
      <alignment vertical="center"/>
    </xf>
    <xf numFmtId="0" fontId="42" fillId="0" borderId="0" xfId="81" applyFont="1" applyAlignment="1">
      <alignment horizontal="centerContinuous"/>
    </xf>
    <xf numFmtId="41" fontId="42" fillId="0" borderId="0" xfId="29" applyFont="1" applyBorder="1" applyAlignment="1">
      <alignment horizontal="centerContinuous"/>
    </xf>
    <xf numFmtId="0" fontId="32" fillId="0" borderId="16" xfId="81" applyFont="1" applyBorder="1" applyAlignment="1">
      <alignment horizontal="centerContinuous" vertical="center"/>
    </xf>
    <xf numFmtId="0" fontId="32" fillId="0" borderId="17" xfId="81" applyFont="1" applyBorder="1" applyAlignment="1">
      <alignment horizontal="centerContinuous" vertical="center"/>
    </xf>
    <xf numFmtId="41" fontId="32" fillId="0" borderId="3" xfId="29" applyFont="1" applyBorder="1" applyAlignment="1">
      <alignment horizontal="centerContinuous" vertical="center"/>
    </xf>
    <xf numFmtId="0" fontId="32" fillId="0" borderId="4" xfId="81" applyFont="1" applyBorder="1" applyAlignment="1">
      <alignment horizontal="center" vertical="center" wrapText="1"/>
    </xf>
    <xf numFmtId="0" fontId="32" fillId="0" borderId="20" xfId="81" applyFont="1" applyBorder="1" applyAlignment="1">
      <alignment horizontal="centerContinuous" vertical="center"/>
    </xf>
    <xf numFmtId="0" fontId="32" fillId="0" borderId="0" xfId="81" applyFont="1" applyAlignment="1">
      <alignment horizontal="centerContinuous" vertical="center" wrapText="1"/>
    </xf>
    <xf numFmtId="0" fontId="32" fillId="0" borderId="0" xfId="81" applyFont="1" applyAlignment="1">
      <alignment horizontal="centerContinuous" vertical="center"/>
    </xf>
    <xf numFmtId="0" fontId="32" fillId="0" borderId="22" xfId="81" applyFont="1" applyBorder="1" applyAlignment="1">
      <alignment horizontal="centerContinuous" vertical="center"/>
    </xf>
    <xf numFmtId="41" fontId="32" fillId="0" borderId="0" xfId="29" applyFont="1" applyBorder="1" applyAlignment="1">
      <alignment horizontal="centerContinuous" vertical="center"/>
    </xf>
    <xf numFmtId="0" fontId="32" fillId="0" borderId="20" xfId="81" applyFont="1" applyBorder="1" applyAlignment="1">
      <alignment horizontal="centerContinuous" vertical="center" wrapText="1"/>
    </xf>
    <xf numFmtId="0" fontId="32" fillId="0" borderId="22" xfId="81" applyFont="1" applyBorder="1" applyAlignment="1">
      <alignment horizontal="centerContinuous" vertical="center" wrapText="1"/>
    </xf>
    <xf numFmtId="0" fontId="32" fillId="0" borderId="13" xfId="81" applyFont="1" applyBorder="1" applyAlignment="1">
      <alignment horizontal="center" vertical="center" wrapText="1"/>
    </xf>
    <xf numFmtId="0" fontId="32" fillId="0" borderId="20" xfId="81" applyFont="1" applyBorder="1" applyAlignment="1">
      <alignment vertical="center"/>
    </xf>
    <xf numFmtId="0" fontId="32" fillId="0" borderId="0" xfId="81" applyFont="1" applyAlignment="1">
      <alignment horizontal="center" vertical="center"/>
    </xf>
    <xf numFmtId="0" fontId="32" fillId="0" borderId="0" xfId="81" quotePrefix="1" applyFont="1" applyAlignment="1">
      <alignment horizontal="center" vertical="center"/>
    </xf>
    <xf numFmtId="0" fontId="32" fillId="0" borderId="0" xfId="81" applyFont="1" applyAlignment="1">
      <alignment horizontal="distributed" vertical="center"/>
    </xf>
    <xf numFmtId="0" fontId="32" fillId="0" borderId="22" xfId="81" applyFont="1" applyBorder="1" applyAlignment="1">
      <alignment vertical="center"/>
    </xf>
    <xf numFmtId="41" fontId="32" fillId="0" borderId="0" xfId="29" applyFont="1" applyBorder="1" applyAlignment="1">
      <alignment vertical="center"/>
    </xf>
    <xf numFmtId="41" fontId="32" fillId="0" borderId="20" xfId="29" applyFont="1" applyBorder="1" applyAlignment="1">
      <alignment vertical="center"/>
    </xf>
    <xf numFmtId="41" fontId="32" fillId="0" borderId="22" xfId="29" applyFont="1" applyBorder="1" applyAlignment="1">
      <alignment vertical="center"/>
    </xf>
    <xf numFmtId="0" fontId="32" fillId="0" borderId="13" xfId="81" applyFont="1" applyBorder="1" applyAlignment="1">
      <alignment horizontal="left" vertical="center"/>
    </xf>
    <xf numFmtId="176" fontId="32" fillId="0" borderId="20" xfId="81" applyNumberFormat="1" applyFont="1" applyBorder="1" applyAlignment="1">
      <alignment vertical="center"/>
    </xf>
    <xf numFmtId="176" fontId="32" fillId="0" borderId="22" xfId="81" applyNumberFormat="1" applyFont="1" applyBorder="1" applyAlignment="1">
      <alignment vertical="center"/>
    </xf>
    <xf numFmtId="0" fontId="32" fillId="0" borderId="16" xfId="81" applyFont="1" applyBorder="1" applyAlignment="1">
      <alignment horizontal="center" vertical="center"/>
    </xf>
    <xf numFmtId="0" fontId="32" fillId="0" borderId="3" xfId="81" applyFont="1" applyBorder="1" applyAlignment="1">
      <alignment horizontal="left" vertical="center"/>
    </xf>
    <xf numFmtId="0" fontId="32" fillId="0" borderId="3" xfId="81" quotePrefix="1" applyFont="1" applyBorder="1" applyAlignment="1">
      <alignment horizontal="left" vertical="center"/>
    </xf>
    <xf numFmtId="0" fontId="32" fillId="0" borderId="3" xfId="81" applyFont="1" applyBorder="1" applyAlignment="1">
      <alignment horizontal="distributed" vertical="center"/>
    </xf>
    <xf numFmtId="0" fontId="32" fillId="0" borderId="17" xfId="81" applyFont="1" applyBorder="1" applyAlignment="1">
      <alignment horizontal="center" vertical="center"/>
    </xf>
    <xf numFmtId="183" fontId="32" fillId="0" borderId="16" xfId="29" applyNumberFormat="1" applyFont="1" applyBorder="1" applyAlignment="1">
      <alignment vertical="center"/>
    </xf>
    <xf numFmtId="183" fontId="32" fillId="0" borderId="3" xfId="29" applyNumberFormat="1" applyFont="1" applyBorder="1" applyAlignment="1">
      <alignment vertical="center"/>
    </xf>
    <xf numFmtId="183" fontId="32" fillId="0" borderId="17" xfId="29" applyNumberFormat="1" applyFont="1" applyBorder="1" applyAlignment="1">
      <alignment vertical="center"/>
    </xf>
    <xf numFmtId="0" fontId="32" fillId="0" borderId="4" xfId="81" applyFont="1" applyBorder="1" applyAlignment="1">
      <alignment horizontal="left" vertical="center"/>
    </xf>
    <xf numFmtId="0" fontId="32" fillId="0" borderId="0" xfId="81" applyFont="1" applyAlignment="1">
      <alignment horizontal="left" vertical="center"/>
    </xf>
    <xf numFmtId="0" fontId="32" fillId="0" borderId="0" xfId="71" applyFont="1" applyAlignment="1">
      <alignment vertical="center"/>
    </xf>
    <xf numFmtId="0" fontId="33" fillId="2" borderId="0" xfId="81" applyFont="1" applyFill="1" applyAlignment="1">
      <alignment horizontal="left" vertical="center"/>
    </xf>
    <xf numFmtId="0" fontId="33" fillId="2" borderId="0" xfId="81" quotePrefix="1" applyFont="1" applyFill="1" applyAlignment="1">
      <alignment horizontal="left" vertical="center"/>
    </xf>
    <xf numFmtId="0" fontId="33" fillId="2" borderId="0" xfId="81" applyFont="1" applyFill="1" applyAlignment="1">
      <alignment vertical="center"/>
    </xf>
    <xf numFmtId="0" fontId="32" fillId="0" borderId="0" xfId="71" applyFont="1" applyAlignment="1">
      <alignment horizontal="left" vertical="center"/>
    </xf>
    <xf numFmtId="41" fontId="33" fillId="0" borderId="13" xfId="29" applyFont="1" applyFill="1" applyBorder="1" applyAlignment="1">
      <alignment horizontal="centerContinuous" vertical="center"/>
    </xf>
    <xf numFmtId="0" fontId="33" fillId="2" borderId="0" xfId="68" applyFont="1" applyFill="1" applyAlignment="1">
      <alignment horizontal="center" vertical="center"/>
    </xf>
    <xf numFmtId="0" fontId="33" fillId="2" borderId="3" xfId="68" applyFont="1" applyFill="1" applyBorder="1" applyAlignment="1">
      <alignment horizontal="center" vertical="center"/>
    </xf>
    <xf numFmtId="41" fontId="33" fillId="2" borderId="0" xfId="29" applyFont="1" applyFill="1" applyAlignment="1">
      <alignment horizontal="left" vertical="center"/>
    </xf>
    <xf numFmtId="41" fontId="35" fillId="2" borderId="0" xfId="29" applyFont="1" applyFill="1" applyAlignment="1">
      <alignment horizontal="left" vertical="center"/>
    </xf>
    <xf numFmtId="0" fontId="33" fillId="2" borderId="11" xfId="0" applyFont="1" applyFill="1" applyBorder="1" applyAlignment="1">
      <alignment horizontal="center" vertical="center" wrapText="1"/>
    </xf>
    <xf numFmtId="0" fontId="33" fillId="2" borderId="16" xfId="29" applyNumberFormat="1" applyFont="1" applyFill="1" applyBorder="1" applyAlignment="1">
      <alignment horizontal="left" vertical="center"/>
    </xf>
    <xf numFmtId="0" fontId="33" fillId="2" borderId="3" xfId="29" applyNumberFormat="1" applyFont="1" applyFill="1" applyBorder="1" applyAlignment="1">
      <alignment horizontal="distributed" vertical="center"/>
    </xf>
    <xf numFmtId="41" fontId="33" fillId="2" borderId="17" xfId="29" applyFont="1" applyFill="1" applyBorder="1" applyAlignment="1">
      <alignment horizontal="left" vertical="center"/>
    </xf>
    <xf numFmtId="41" fontId="33" fillId="0" borderId="4" xfId="29" applyFont="1" applyFill="1" applyBorder="1" applyAlignment="1">
      <alignment horizontal="left" vertical="center" wrapText="1"/>
    </xf>
    <xf numFmtId="41" fontId="33" fillId="2" borderId="4" xfId="29" applyFont="1" applyFill="1" applyBorder="1" applyAlignment="1">
      <alignment horizontal="left" vertical="center" wrapText="1"/>
    </xf>
    <xf numFmtId="0" fontId="33" fillId="2" borderId="4" xfId="29" applyNumberFormat="1" applyFont="1" applyFill="1" applyBorder="1" applyAlignment="1">
      <alignment horizontal="center" vertical="center" wrapText="1"/>
    </xf>
    <xf numFmtId="41" fontId="33" fillId="2" borderId="4" xfId="29" applyFont="1" applyFill="1" applyBorder="1" applyAlignment="1">
      <alignment horizontal="left" vertical="center"/>
    </xf>
    <xf numFmtId="0" fontId="33" fillId="0" borderId="4" xfId="29" applyNumberFormat="1" applyFont="1" applyFill="1" applyBorder="1" applyAlignment="1">
      <alignment horizontal="left" vertical="center" wrapText="1"/>
    </xf>
    <xf numFmtId="0" fontId="33" fillId="2" borderId="18" xfId="29" applyNumberFormat="1" applyFont="1" applyFill="1" applyBorder="1" applyAlignment="1">
      <alignment horizontal="left" vertical="center"/>
    </xf>
    <xf numFmtId="0" fontId="33" fillId="2" borderId="19" xfId="29" applyNumberFormat="1" applyFont="1" applyFill="1" applyBorder="1" applyAlignment="1">
      <alignment horizontal="distributed" vertical="center"/>
    </xf>
    <xf numFmtId="41" fontId="33" fillId="2" borderId="21" xfId="29" applyFont="1" applyFill="1" applyBorder="1" applyAlignment="1">
      <alignment horizontal="left" vertical="center"/>
    </xf>
    <xf numFmtId="41" fontId="33" fillId="2" borderId="11" xfId="29" applyFont="1" applyFill="1" applyBorder="1" applyAlignment="1">
      <alignment horizontal="left" vertical="center"/>
    </xf>
    <xf numFmtId="0" fontId="33" fillId="5" borderId="0" xfId="0" applyFont="1" applyFill="1" applyAlignment="1">
      <alignment horizontal="center" vertical="center"/>
    </xf>
    <xf numFmtId="41" fontId="33" fillId="0" borderId="4" xfId="29" applyFont="1" applyFill="1" applyBorder="1" applyAlignment="1">
      <alignment horizontal="left" vertical="center"/>
    </xf>
    <xf numFmtId="41" fontId="33" fillId="0" borderId="0" xfId="29" applyFont="1" applyFill="1" applyAlignment="1">
      <alignment horizontal="left" vertical="center"/>
    </xf>
    <xf numFmtId="0" fontId="33" fillId="2" borderId="0" xfId="0" applyFont="1" applyFill="1" applyAlignment="1">
      <alignment horizontal="centerContinuous" vertical="center"/>
    </xf>
    <xf numFmtId="41" fontId="33" fillId="2" borderId="0" xfId="29" applyFont="1" applyFill="1" applyBorder="1" applyAlignment="1">
      <alignment horizontal="center" vertical="center"/>
    </xf>
    <xf numFmtId="41" fontId="35" fillId="2" borderId="0" xfId="29" quotePrefix="1" applyFont="1" applyFill="1" applyBorder="1" applyAlignment="1">
      <alignment horizontal="centerContinuous" vertical="center"/>
    </xf>
    <xf numFmtId="41" fontId="35" fillId="2" borderId="0" xfId="29" quotePrefix="1" applyFont="1" applyFill="1" applyAlignment="1">
      <alignment horizontal="centerContinuous" vertical="center"/>
    </xf>
    <xf numFmtId="41" fontId="35" fillId="2" borderId="0" xfId="29" applyFont="1" applyFill="1" applyBorder="1" applyAlignment="1">
      <alignment horizontal="centerContinuous" vertical="center"/>
    </xf>
    <xf numFmtId="0" fontId="33" fillId="2" borderId="19" xfId="0" applyFont="1" applyFill="1" applyBorder="1" applyAlignment="1">
      <alignment vertical="center"/>
    </xf>
    <xf numFmtId="0" fontId="33" fillId="2" borderId="19" xfId="0" applyFont="1" applyFill="1" applyBorder="1" applyAlignment="1">
      <alignment vertical="center" wrapText="1"/>
    </xf>
    <xf numFmtId="49" fontId="33" fillId="2" borderId="16" xfId="0" applyNumberFormat="1" applyFont="1" applyFill="1" applyBorder="1" applyAlignment="1">
      <alignment horizontal="center" vertical="center"/>
    </xf>
    <xf numFmtId="49" fontId="33" fillId="2" borderId="3" xfId="0" applyNumberFormat="1" applyFont="1" applyFill="1" applyBorder="1" applyAlignment="1">
      <alignment horizontal="center" vertical="center"/>
    </xf>
    <xf numFmtId="49" fontId="33" fillId="2" borderId="17" xfId="0" applyNumberFormat="1" applyFont="1" applyFill="1" applyBorder="1" applyAlignment="1">
      <alignment horizontal="center" vertical="center"/>
    </xf>
    <xf numFmtId="49" fontId="33" fillId="2" borderId="4" xfId="29" applyNumberFormat="1" applyFont="1" applyFill="1" applyBorder="1" applyAlignment="1">
      <alignment horizontal="center" vertical="center"/>
    </xf>
    <xf numFmtId="49" fontId="33" fillId="2" borderId="16" xfId="29" applyNumberFormat="1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0" fontId="33" fillId="2" borderId="14" xfId="0" applyFont="1" applyFill="1" applyBorder="1" applyAlignment="1">
      <alignment horizontal="centerContinuous" vertical="center"/>
    </xf>
    <xf numFmtId="0" fontId="33" fillId="2" borderId="15" xfId="0" applyFont="1" applyFill="1" applyBorder="1" applyAlignment="1">
      <alignment horizontal="centerContinuous" vertical="center"/>
    </xf>
    <xf numFmtId="0" fontId="33" fillId="2" borderId="22" xfId="0" applyFont="1" applyFill="1" applyBorder="1" applyAlignment="1">
      <alignment horizontal="centerContinuous" vertical="center"/>
    </xf>
    <xf numFmtId="41" fontId="33" fillId="2" borderId="13" xfId="29" applyFont="1" applyFill="1" applyBorder="1" applyAlignment="1">
      <alignment horizontal="center" vertical="center"/>
    </xf>
    <xf numFmtId="41" fontId="33" fillId="2" borderId="14" xfId="29" applyFont="1" applyFill="1" applyBorder="1" applyAlignment="1">
      <alignment horizontal="center" vertical="center"/>
    </xf>
    <xf numFmtId="41" fontId="33" fillId="2" borderId="22" xfId="29" applyFont="1" applyFill="1" applyBorder="1" applyAlignment="1">
      <alignment horizontal="center" vertical="center"/>
    </xf>
    <xf numFmtId="41" fontId="33" fillId="2" borderId="20" xfId="29" applyFont="1" applyFill="1" applyBorder="1" applyAlignment="1">
      <alignment horizontal="center" vertical="center"/>
    </xf>
    <xf numFmtId="41" fontId="33" fillId="0" borderId="20" xfId="29" applyFont="1" applyFill="1" applyBorder="1" applyAlignment="1">
      <alignment horizontal="center" vertical="center"/>
    </xf>
    <xf numFmtId="41" fontId="33" fillId="0" borderId="0" xfId="29" applyFont="1" applyFill="1" applyBorder="1" applyAlignment="1">
      <alignment vertical="center" shrinkToFit="1"/>
    </xf>
    <xf numFmtId="0" fontId="33" fillId="0" borderId="22" xfId="29" applyNumberFormat="1" applyFont="1" applyFill="1" applyBorder="1" applyAlignment="1">
      <alignment horizontal="center" vertical="center"/>
    </xf>
    <xf numFmtId="41" fontId="33" fillId="0" borderId="22" xfId="29" applyFont="1" applyFill="1" applyBorder="1" applyAlignment="1">
      <alignment horizontal="left" vertical="center" wrapText="1"/>
    </xf>
    <xf numFmtId="195" fontId="33" fillId="0" borderId="0" xfId="29" applyNumberFormat="1" applyFont="1" applyFill="1" applyBorder="1" applyAlignment="1">
      <alignment horizontal="center" vertical="center"/>
    </xf>
    <xf numFmtId="41" fontId="33" fillId="0" borderId="22" xfId="29" applyFont="1" applyFill="1" applyBorder="1" applyAlignment="1">
      <alignment horizontal="center" vertical="center"/>
    </xf>
    <xf numFmtId="41" fontId="33" fillId="0" borderId="22" xfId="29" applyFont="1" applyFill="1" applyBorder="1" applyAlignment="1">
      <alignment horizontal="left" vertical="center" shrinkToFit="1"/>
    </xf>
    <xf numFmtId="0" fontId="33" fillId="2" borderId="17" xfId="0" applyFont="1" applyFill="1" applyBorder="1" applyAlignment="1">
      <alignment horizontal="left" vertical="center"/>
    </xf>
    <xf numFmtId="0" fontId="33" fillId="2" borderId="4" xfId="0" applyFont="1" applyFill="1" applyBorder="1" applyAlignment="1">
      <alignment horizontal="left" vertical="center"/>
    </xf>
    <xf numFmtId="41" fontId="33" fillId="2" borderId="4" xfId="29" applyFont="1" applyFill="1" applyBorder="1" applyAlignment="1">
      <alignment horizontal="center" vertical="center"/>
    </xf>
    <xf numFmtId="41" fontId="33" fillId="2" borderId="17" xfId="29" applyFont="1" applyFill="1" applyBorder="1" applyAlignment="1">
      <alignment horizontal="center" vertical="center" shrinkToFit="1"/>
    </xf>
    <xf numFmtId="41" fontId="33" fillId="2" borderId="17" xfId="29" applyFont="1" applyFill="1" applyBorder="1" applyAlignment="1">
      <alignment horizontal="left" vertical="center" shrinkToFit="1"/>
    </xf>
    <xf numFmtId="41" fontId="33" fillId="2" borderId="0" xfId="29" quotePrefix="1" applyFont="1" applyFill="1" applyBorder="1" applyAlignment="1">
      <alignment horizontal="left" vertical="center"/>
    </xf>
    <xf numFmtId="41" fontId="33" fillId="2" borderId="0" xfId="29" applyFont="1" applyFill="1" applyBorder="1" applyAlignment="1">
      <alignment horizontal="left" vertical="center"/>
    </xf>
    <xf numFmtId="0" fontId="33" fillId="2" borderId="0" xfId="0" applyFont="1" applyFill="1"/>
    <xf numFmtId="41" fontId="33" fillId="2" borderId="0" xfId="29" applyFont="1" applyFill="1" applyBorder="1"/>
    <xf numFmtId="41" fontId="33" fillId="2" borderId="0" xfId="0" applyNumberFormat="1" applyFont="1" applyFill="1" applyAlignment="1">
      <alignment horizontal="center" vertical="center"/>
    </xf>
    <xf numFmtId="0" fontId="33" fillId="0" borderId="20" xfId="0" applyFont="1" applyBorder="1" applyAlignment="1">
      <alignment horizontal="centerContinuous" vertical="center"/>
    </xf>
    <xf numFmtId="0" fontId="33" fillId="0" borderId="22" xfId="0" applyFont="1" applyBorder="1" applyAlignment="1">
      <alignment horizontal="centerContinuous" vertical="center"/>
    </xf>
    <xf numFmtId="41" fontId="33" fillId="0" borderId="0" xfId="29" applyFont="1" applyFill="1" applyAlignment="1">
      <alignment horizontal="center" vertical="center"/>
    </xf>
    <xf numFmtId="41" fontId="33" fillId="0" borderId="0" xfId="29" applyFont="1" applyFill="1" applyBorder="1" applyAlignment="1">
      <alignment horizontal="left" vertical="center" wrapText="1" shrinkToFit="1"/>
    </xf>
    <xf numFmtId="192" fontId="33" fillId="0" borderId="0" xfId="29" applyNumberFormat="1" applyFont="1" applyFill="1" applyBorder="1" applyAlignment="1">
      <alignment horizontal="right" vertical="center"/>
    </xf>
    <xf numFmtId="183" fontId="33" fillId="0" borderId="13" xfId="29" applyNumberFormat="1" applyFont="1" applyFill="1" applyBorder="1" applyAlignment="1">
      <alignment horizontal="center" vertical="center"/>
    </xf>
    <xf numFmtId="41" fontId="33" fillId="0" borderId="22" xfId="29" applyFont="1" applyFill="1" applyBorder="1" applyAlignment="1">
      <alignment horizontal="left" vertical="center" wrapText="1" shrinkToFit="1"/>
    </xf>
    <xf numFmtId="0" fontId="33" fillId="0" borderId="4" xfId="0" applyFont="1" applyBorder="1" applyAlignment="1">
      <alignment horizontal="centerContinuous" vertical="center"/>
    </xf>
    <xf numFmtId="0" fontId="33" fillId="2" borderId="4" xfId="0" applyFont="1" applyFill="1" applyBorder="1" applyAlignment="1">
      <alignment horizontal="centerContinuous" vertical="center"/>
    </xf>
    <xf numFmtId="10" fontId="33" fillId="2" borderId="0" xfId="0" applyNumberFormat="1" applyFont="1" applyFill="1" applyAlignment="1">
      <alignment vertical="center"/>
    </xf>
    <xf numFmtId="41" fontId="33" fillId="0" borderId="11" xfId="29" applyFont="1" applyFill="1" applyBorder="1" applyAlignment="1">
      <alignment horizontal="center" vertical="center"/>
    </xf>
    <xf numFmtId="41" fontId="33" fillId="2" borderId="19" xfId="29" applyFont="1" applyFill="1" applyBorder="1" applyAlignment="1">
      <alignment horizontal="center" vertical="center"/>
    </xf>
    <xf numFmtId="41" fontId="33" fillId="2" borderId="11" xfId="29" applyFont="1" applyFill="1" applyBorder="1" applyAlignment="1">
      <alignment horizontal="center" vertical="center"/>
    </xf>
    <xf numFmtId="41" fontId="33" fillId="2" borderId="0" xfId="29" applyFont="1" applyFill="1" applyBorder="1" applyAlignment="1">
      <alignment horizontal="right" vertical="center" shrinkToFit="1"/>
    </xf>
    <xf numFmtId="41" fontId="33" fillId="2" borderId="18" xfId="29" applyFont="1" applyFill="1" applyBorder="1" applyAlignment="1">
      <alignment horizontal="right" vertical="center" shrinkToFit="1"/>
    </xf>
    <xf numFmtId="41" fontId="33" fillId="2" borderId="37" xfId="29" applyFont="1" applyFill="1" applyBorder="1" applyAlignment="1">
      <alignment horizontal="right" vertical="center" shrinkToFit="1"/>
    </xf>
    <xf numFmtId="41" fontId="33" fillId="2" borderId="38" xfId="29" applyFont="1" applyFill="1" applyBorder="1" applyAlignment="1">
      <alignment horizontal="right" vertical="center" shrinkToFit="1"/>
    </xf>
    <xf numFmtId="41" fontId="33" fillId="2" borderId="39" xfId="29" applyFont="1" applyFill="1" applyBorder="1" applyAlignment="1">
      <alignment horizontal="right" vertical="center" shrinkToFit="1"/>
    </xf>
    <xf numFmtId="41" fontId="33" fillId="2" borderId="21" xfId="29" applyFont="1" applyFill="1" applyBorder="1" applyAlignment="1">
      <alignment horizontal="left" vertical="center" wrapText="1"/>
    </xf>
    <xf numFmtId="177" fontId="33" fillId="0" borderId="0" xfId="29" applyNumberFormat="1" applyFont="1" applyFill="1" applyBorder="1" applyAlignment="1">
      <alignment horizontal="right" vertical="center"/>
    </xf>
    <xf numFmtId="195" fontId="33" fillId="0" borderId="0" xfId="29" applyNumberFormat="1" applyFont="1" applyFill="1" applyBorder="1" applyAlignment="1">
      <alignment horizontal="right" vertical="center"/>
    </xf>
    <xf numFmtId="192" fontId="33" fillId="0" borderId="0" xfId="29" applyNumberFormat="1" applyFont="1" applyFill="1" applyBorder="1" applyAlignment="1">
      <alignment horizontal="center" vertical="center"/>
    </xf>
    <xf numFmtId="41" fontId="33" fillId="2" borderId="4" xfId="29" applyFont="1" applyFill="1" applyBorder="1" applyAlignment="1">
      <alignment vertical="center"/>
    </xf>
    <xf numFmtId="41" fontId="33" fillId="0" borderId="4" xfId="0" applyNumberFormat="1" applyFont="1" applyBorder="1" applyAlignment="1">
      <alignment horizontal="center" vertical="center"/>
    </xf>
    <xf numFmtId="41" fontId="33" fillId="0" borderId="0" xfId="29" applyFont="1" applyFill="1" applyBorder="1" applyAlignment="1">
      <alignment vertical="center" wrapText="1" shrinkToFit="1"/>
    </xf>
    <xf numFmtId="0" fontId="33" fillId="0" borderId="14" xfId="0" applyFont="1" applyBorder="1" applyAlignment="1">
      <alignment horizontal="centerContinuous" vertical="center"/>
    </xf>
    <xf numFmtId="0" fontId="33" fillId="0" borderId="15" xfId="0" applyFont="1" applyBorder="1" applyAlignment="1">
      <alignment horizontal="centerContinuous" vertical="center"/>
    </xf>
    <xf numFmtId="41" fontId="33" fillId="0" borderId="14" xfId="29" applyFont="1" applyFill="1" applyBorder="1" applyAlignment="1">
      <alignment horizontal="center" vertical="center"/>
    </xf>
    <xf numFmtId="41" fontId="33" fillId="2" borderId="0" xfId="29" applyFont="1" applyFill="1" applyAlignment="1">
      <alignment vertical="center"/>
    </xf>
    <xf numFmtId="41" fontId="33" fillId="0" borderId="0" xfId="29" applyFont="1" applyFill="1" applyBorder="1" applyAlignment="1">
      <alignment horizontal="center" vertical="center" shrinkToFit="1"/>
    </xf>
    <xf numFmtId="192" fontId="33" fillId="0" borderId="0" xfId="29" applyNumberFormat="1" applyFont="1" applyFill="1" applyBorder="1" applyAlignment="1">
      <alignment horizontal="centerContinuous" vertical="center"/>
    </xf>
    <xf numFmtId="0" fontId="33" fillId="0" borderId="0" xfId="74" applyFont="1" applyAlignment="1">
      <alignment horizontal="left" vertical="center"/>
    </xf>
    <xf numFmtId="0" fontId="33" fillId="0" borderId="0" xfId="78" applyFont="1" applyAlignment="1">
      <alignment horizontal="center" vertical="center"/>
    </xf>
    <xf numFmtId="41" fontId="33" fillId="0" borderId="0" xfId="36" applyFont="1" applyFill="1" applyAlignment="1">
      <alignment vertical="center"/>
    </xf>
    <xf numFmtId="0" fontId="33" fillId="0" borderId="0" xfId="78" applyFont="1" applyAlignment="1">
      <alignment vertical="center"/>
    </xf>
    <xf numFmtId="49" fontId="35" fillId="0" borderId="0" xfId="36" applyNumberFormat="1" applyFont="1" applyFill="1" applyAlignment="1">
      <alignment horizontal="centerContinuous" vertical="center"/>
    </xf>
    <xf numFmtId="49" fontId="35" fillId="0" borderId="0" xfId="64" applyNumberFormat="1" applyFont="1" applyAlignment="1">
      <alignment horizontal="centerContinuous" vertical="center"/>
    </xf>
    <xf numFmtId="0" fontId="33" fillId="0" borderId="0" xfId="52" applyFont="1" applyAlignment="1">
      <alignment horizontal="right" vertical="center"/>
    </xf>
    <xf numFmtId="0" fontId="33" fillId="0" borderId="16" xfId="78" applyFont="1" applyBorder="1" applyAlignment="1">
      <alignment horizontal="center" vertical="center"/>
    </xf>
    <xf numFmtId="0" fontId="33" fillId="0" borderId="14" xfId="78" applyFont="1" applyBorder="1" applyAlignment="1">
      <alignment horizontal="center" vertical="center"/>
    </xf>
    <xf numFmtId="0" fontId="33" fillId="0" borderId="9" xfId="78" applyFont="1" applyBorder="1" applyAlignment="1">
      <alignment horizontal="center" vertical="center"/>
    </xf>
    <xf numFmtId="41" fontId="33" fillId="0" borderId="9" xfId="36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78" applyFont="1" applyBorder="1" applyAlignment="1">
      <alignment horizontal="center" vertical="center"/>
    </xf>
    <xf numFmtId="41" fontId="33" fillId="0" borderId="13" xfId="36" applyFont="1" applyFill="1" applyBorder="1" applyAlignment="1">
      <alignment vertical="center"/>
    </xf>
    <xf numFmtId="41" fontId="33" fillId="0" borderId="4" xfId="36" applyFont="1" applyFill="1" applyBorder="1" applyAlignment="1">
      <alignment vertical="center"/>
    </xf>
    <xf numFmtId="41" fontId="33" fillId="0" borderId="0" xfId="36" applyFont="1" applyFill="1" applyBorder="1" applyAlignment="1">
      <alignment vertical="center"/>
    </xf>
    <xf numFmtId="0" fontId="33" fillId="0" borderId="0" xfId="78" quotePrefix="1" applyFont="1" applyAlignment="1">
      <alignment vertical="center"/>
    </xf>
    <xf numFmtId="0" fontId="33" fillId="0" borderId="20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/>
    </xf>
    <xf numFmtId="0" fontId="33" fillId="0" borderId="11" xfId="78" applyFont="1" applyBorder="1" applyAlignment="1">
      <alignment horizontal="center" vertical="center"/>
    </xf>
    <xf numFmtId="41" fontId="33" fillId="0" borderId="11" xfId="36" applyFont="1" applyFill="1" applyBorder="1" applyAlignment="1">
      <alignment vertical="center"/>
    </xf>
    <xf numFmtId="0" fontId="33" fillId="0" borderId="21" xfId="0" applyFont="1" applyBorder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" xfId="78" applyFont="1" applyBorder="1" applyAlignment="1">
      <alignment horizontal="center" vertical="center"/>
    </xf>
    <xf numFmtId="0" fontId="33" fillId="0" borderId="4" xfId="36" applyNumberFormat="1" applyFont="1" applyFill="1" applyBorder="1" applyAlignment="1">
      <alignment horizontal="center" vertical="center"/>
    </xf>
    <xf numFmtId="0" fontId="33" fillId="0" borderId="20" xfId="78" applyFont="1" applyBorder="1" applyAlignment="1">
      <alignment horizontal="center" vertical="center"/>
    </xf>
    <xf numFmtId="195" fontId="33" fillId="0" borderId="0" xfId="29" applyNumberFormat="1" applyFont="1" applyFill="1" applyBorder="1" applyAlignment="1">
      <alignment horizontal="centerContinuous" vertical="center"/>
    </xf>
    <xf numFmtId="177" fontId="33" fillId="0" borderId="0" xfId="29" applyNumberFormat="1" applyFont="1" applyFill="1" applyBorder="1" applyAlignment="1">
      <alignment horizontal="centerContinuous" vertical="center"/>
    </xf>
    <xf numFmtId="177" fontId="33" fillId="0" borderId="0" xfId="29" applyNumberFormat="1" applyFont="1" applyFill="1" applyBorder="1" applyAlignment="1">
      <alignment horizontal="center" vertical="center"/>
    </xf>
    <xf numFmtId="41" fontId="35" fillId="0" borderId="0" xfId="29" applyFont="1" applyFill="1" applyAlignment="1">
      <alignment horizontal="centerContinuous" vertical="center"/>
    </xf>
    <xf numFmtId="41" fontId="33" fillId="0" borderId="9" xfId="29" applyFont="1" applyFill="1" applyBorder="1" applyAlignment="1">
      <alignment horizontal="center" vertical="center"/>
    </xf>
    <xf numFmtId="191" fontId="33" fillId="0" borderId="13" xfId="29" applyNumberFormat="1" applyFont="1" applyFill="1" applyBorder="1" applyAlignment="1">
      <alignment horizontal="center" vertical="center" wrapText="1"/>
    </xf>
    <xf numFmtId="185" fontId="33" fillId="0" borderId="4" xfId="29" applyNumberFormat="1" applyFont="1" applyFill="1" applyBorder="1" applyAlignment="1">
      <alignment vertical="center"/>
    </xf>
    <xf numFmtId="41" fontId="33" fillId="0" borderId="11" xfId="29" applyFont="1" applyFill="1" applyBorder="1" applyAlignment="1">
      <alignment horizontal="right" vertical="center" shrinkToFit="1"/>
    </xf>
    <xf numFmtId="41" fontId="33" fillId="0" borderId="16" xfId="29" applyFont="1" applyFill="1" applyBorder="1" applyAlignment="1">
      <alignment horizontal="right" vertical="center" shrinkToFit="1"/>
    </xf>
    <xf numFmtId="0" fontId="33" fillId="0" borderId="0" xfId="75" applyFont="1" applyAlignment="1">
      <alignment vertical="center"/>
    </xf>
    <xf numFmtId="178" fontId="33" fillId="0" borderId="0" xfId="45" applyNumberFormat="1" applyFont="1" applyFill="1" applyAlignment="1">
      <alignment vertical="center"/>
    </xf>
    <xf numFmtId="0" fontId="35" fillId="0" borderId="0" xfId="75" applyFont="1" applyAlignment="1">
      <alignment horizontal="centerContinuous" vertical="center"/>
    </xf>
    <xf numFmtId="178" fontId="35" fillId="0" borderId="0" xfId="45" applyNumberFormat="1" applyFont="1" applyFill="1" applyAlignment="1">
      <alignment horizontal="centerContinuous" vertical="center"/>
    </xf>
    <xf numFmtId="0" fontId="35" fillId="0" borderId="0" xfId="75" applyFont="1" applyAlignment="1">
      <alignment vertical="center"/>
    </xf>
    <xf numFmtId="0" fontId="33" fillId="0" borderId="0" xfId="75" applyFont="1" applyAlignment="1">
      <alignment horizontal="centerContinuous" vertical="center"/>
    </xf>
    <xf numFmtId="178" fontId="33" fillId="0" borderId="0" xfId="45" applyNumberFormat="1" applyFont="1" applyFill="1" applyAlignment="1">
      <alignment horizontal="centerContinuous" vertical="center"/>
    </xf>
    <xf numFmtId="0" fontId="33" fillId="0" borderId="0" xfId="75" applyFont="1" applyAlignment="1">
      <alignment horizontal="left" vertical="center"/>
    </xf>
    <xf numFmtId="176" fontId="33" fillId="0" borderId="0" xfId="41" applyFont="1" applyFill="1" applyAlignment="1">
      <alignment horizontal="right" vertical="center"/>
    </xf>
    <xf numFmtId="0" fontId="33" fillId="0" borderId="15" xfId="0" applyFont="1" applyBorder="1" applyAlignment="1">
      <alignment horizontal="center" vertical="center"/>
    </xf>
    <xf numFmtId="0" fontId="33" fillId="0" borderId="9" xfId="60" applyFont="1" applyBorder="1" applyAlignment="1">
      <alignment horizontal="centerContinuous" vertical="center" wrapText="1"/>
    </xf>
    <xf numFmtId="0" fontId="33" fillId="0" borderId="9" xfId="60" applyFont="1" applyBorder="1" applyAlignment="1">
      <alignment horizontal="centerContinuous" vertical="center"/>
    </xf>
    <xf numFmtId="0" fontId="33" fillId="0" borderId="9" xfId="6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9" xfId="60" applyFont="1" applyBorder="1" applyAlignment="1">
      <alignment horizontal="center" vertical="center" wrapText="1"/>
    </xf>
    <xf numFmtId="0" fontId="33" fillId="0" borderId="11" xfId="75" applyFont="1" applyBorder="1" applyAlignment="1">
      <alignment horizontal="center" vertical="center"/>
    </xf>
    <xf numFmtId="0" fontId="33" fillId="0" borderId="19" xfId="75" applyFont="1" applyBorder="1" applyAlignment="1">
      <alignment horizontal="center" vertical="center"/>
    </xf>
    <xf numFmtId="0" fontId="33" fillId="0" borderId="21" xfId="75" applyFont="1" applyBorder="1" applyAlignment="1">
      <alignment horizontal="center" vertical="center"/>
    </xf>
    <xf numFmtId="0" fontId="33" fillId="0" borderId="14" xfId="60" applyFont="1" applyBorder="1" applyAlignment="1">
      <alignment horizontal="center" vertical="center" wrapText="1"/>
    </xf>
    <xf numFmtId="0" fontId="33" fillId="0" borderId="14" xfId="60" applyFont="1" applyBorder="1" applyAlignment="1">
      <alignment horizontal="center" vertical="center"/>
    </xf>
    <xf numFmtId="0" fontId="33" fillId="0" borderId="13" xfId="60" applyFont="1" applyBorder="1" applyAlignment="1">
      <alignment horizontal="center" vertical="center"/>
    </xf>
    <xf numFmtId="41" fontId="33" fillId="0" borderId="9" xfId="29" applyFont="1" applyFill="1" applyBorder="1" applyAlignment="1">
      <alignment horizontal="left" vertical="center"/>
    </xf>
    <xf numFmtId="41" fontId="33" fillId="0" borderId="9" xfId="29" applyFont="1" applyFill="1" applyBorder="1" applyAlignment="1">
      <alignment horizontal="left" vertical="center" shrinkToFit="1"/>
    </xf>
    <xf numFmtId="0" fontId="33" fillId="0" borderId="15" xfId="74" applyFont="1" applyBorder="1" applyAlignment="1">
      <alignment horizontal="left" vertical="center" shrinkToFit="1"/>
    </xf>
    <xf numFmtId="0" fontId="33" fillId="0" borderId="15" xfId="74" applyFont="1" applyBorder="1" applyAlignment="1">
      <alignment horizontal="distributed" vertical="center" shrinkToFit="1"/>
    </xf>
    <xf numFmtId="0" fontId="33" fillId="0" borderId="12" xfId="75" applyFont="1" applyBorder="1" applyAlignment="1">
      <alignment horizontal="distributed" vertical="center"/>
    </xf>
    <xf numFmtId="177" fontId="33" fillId="0" borderId="14" xfId="45" applyNumberFormat="1" applyFont="1" applyFill="1" applyBorder="1" applyAlignment="1">
      <alignment horizontal="right" vertical="center"/>
    </xf>
    <xf numFmtId="0" fontId="33" fillId="0" borderId="14" xfId="45" applyNumberFormat="1" applyFont="1" applyFill="1" applyBorder="1" applyAlignment="1">
      <alignment horizontal="center" vertical="center"/>
    </xf>
    <xf numFmtId="177" fontId="33" fillId="0" borderId="9" xfId="45" applyNumberFormat="1" applyFont="1" applyFill="1" applyBorder="1" applyAlignment="1">
      <alignment horizontal="right" vertical="center"/>
    </xf>
    <xf numFmtId="41" fontId="33" fillId="0" borderId="4" xfId="29" applyFont="1" applyFill="1" applyBorder="1" applyAlignment="1">
      <alignment horizontal="left" vertical="center" shrinkToFit="1"/>
    </xf>
    <xf numFmtId="0" fontId="33" fillId="0" borderId="3" xfId="74" applyFont="1" applyBorder="1" applyAlignment="1">
      <alignment horizontal="left" vertical="center" shrinkToFit="1"/>
    </xf>
    <xf numFmtId="0" fontId="33" fillId="0" borderId="3" xfId="74" applyFont="1" applyBorder="1" applyAlignment="1">
      <alignment horizontal="distributed" vertical="center" shrinkToFit="1"/>
    </xf>
    <xf numFmtId="0" fontId="33" fillId="0" borderId="17" xfId="75" applyFont="1" applyBorder="1" applyAlignment="1">
      <alignment horizontal="distributed" vertical="center"/>
    </xf>
    <xf numFmtId="177" fontId="33" fillId="0" borderId="16" xfId="45" applyNumberFormat="1" applyFont="1" applyFill="1" applyBorder="1" applyAlignment="1">
      <alignment horizontal="right" vertical="center"/>
    </xf>
    <xf numFmtId="0" fontId="33" fillId="0" borderId="16" xfId="45" applyNumberFormat="1" applyFont="1" applyFill="1" applyBorder="1" applyAlignment="1">
      <alignment horizontal="center" vertical="center"/>
    </xf>
    <xf numFmtId="177" fontId="33" fillId="0" borderId="4" xfId="45" applyNumberFormat="1" applyFont="1" applyFill="1" applyBorder="1" applyAlignment="1">
      <alignment horizontal="right" vertical="center"/>
    </xf>
    <xf numFmtId="0" fontId="35" fillId="0" borderId="0" xfId="0" quotePrefix="1" applyFont="1" applyAlignment="1">
      <alignment horizontal="centerContinuous" vertical="center"/>
    </xf>
    <xf numFmtId="41" fontId="35" fillId="0" borderId="0" xfId="29" quotePrefix="1" applyFont="1" applyFill="1" applyAlignment="1">
      <alignment horizontal="centerContinuous" vertical="center"/>
    </xf>
    <xf numFmtId="41" fontId="35" fillId="0" borderId="0" xfId="29" applyFont="1" applyFill="1" applyBorder="1" applyAlignment="1">
      <alignment horizontal="centerContinuous" vertical="center"/>
    </xf>
    <xf numFmtId="41" fontId="33" fillId="0" borderId="0" xfId="29" applyFont="1" applyFill="1" applyAlignment="1">
      <alignment horizontal="right" vertical="center"/>
    </xf>
    <xf numFmtId="49" fontId="33" fillId="0" borderId="16" xfId="29" applyNumberFormat="1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distributed" vertical="center"/>
    </xf>
    <xf numFmtId="0" fontId="33" fillId="0" borderId="16" xfId="0" applyFont="1" applyBorder="1" applyAlignment="1">
      <alignment horizontal="left" vertical="center"/>
    </xf>
    <xf numFmtId="0" fontId="33" fillId="0" borderId="17" xfId="0" applyFont="1" applyBorder="1" applyAlignment="1">
      <alignment horizontal="left" vertical="center"/>
    </xf>
    <xf numFmtId="41" fontId="33" fillId="0" borderId="17" xfId="29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distributed" vertical="center" wrapText="1"/>
    </xf>
    <xf numFmtId="41" fontId="33" fillId="0" borderId="0" xfId="29" quotePrefix="1" applyFont="1" applyFill="1" applyBorder="1" applyAlignment="1">
      <alignment horizontal="left" vertical="center"/>
    </xf>
    <xf numFmtId="41" fontId="33" fillId="0" borderId="0" xfId="29" applyFont="1" applyFill="1" applyBorder="1" applyAlignment="1">
      <alignment horizontal="left" vertical="center"/>
    </xf>
    <xf numFmtId="0" fontId="33" fillId="0" borderId="0" xfId="81" applyFont="1" applyAlignment="1">
      <alignment vertical="center"/>
    </xf>
    <xf numFmtId="176" fontId="33" fillId="0" borderId="14" xfId="45" applyNumberFormat="1" applyFont="1" applyFill="1" applyBorder="1" applyAlignment="1">
      <alignment horizontal="right" vertical="center"/>
    </xf>
    <xf numFmtId="176" fontId="33" fillId="0" borderId="4" xfId="45" applyNumberFormat="1" applyFont="1" applyFill="1" applyBorder="1" applyAlignment="1">
      <alignment horizontal="right" vertical="center"/>
    </xf>
    <xf numFmtId="177" fontId="33" fillId="0" borderId="0" xfId="75" applyNumberFormat="1" applyFont="1" applyAlignment="1">
      <alignment vertical="center"/>
    </xf>
    <xf numFmtId="41" fontId="33" fillId="0" borderId="4" xfId="75" applyNumberFormat="1" applyFont="1" applyBorder="1" applyAlignment="1">
      <alignment vertical="center"/>
    </xf>
    <xf numFmtId="41" fontId="74" fillId="0" borderId="4" xfId="0" applyNumberFormat="1" applyFont="1" applyBorder="1" applyAlignment="1">
      <alignment horizontal="center" vertical="center" wrapText="1"/>
    </xf>
    <xf numFmtId="0" fontId="33" fillId="0" borderId="4" xfId="75" applyFont="1" applyBorder="1" applyAlignment="1">
      <alignment horizontal="center" vertical="center"/>
    </xf>
    <xf numFmtId="0" fontId="33" fillId="0" borderId="4" xfId="75" applyFont="1" applyBorder="1" applyAlignment="1">
      <alignment vertical="center"/>
    </xf>
    <xf numFmtId="0" fontId="33" fillId="0" borderId="9" xfId="75" applyFont="1" applyBorder="1" applyAlignment="1">
      <alignment vertical="center"/>
    </xf>
    <xf numFmtId="41" fontId="33" fillId="0" borderId="16" xfId="29" applyFont="1" applyFill="1" applyBorder="1" applyAlignment="1">
      <alignment horizontal="center" vertical="center"/>
    </xf>
    <xf numFmtId="176" fontId="33" fillId="0" borderId="16" xfId="45" applyNumberFormat="1" applyFont="1" applyFill="1" applyBorder="1" applyAlignment="1">
      <alignment horizontal="right" vertical="center"/>
    </xf>
    <xf numFmtId="178" fontId="33" fillId="0" borderId="0" xfId="45" applyNumberFormat="1" applyFont="1" applyFill="1" applyBorder="1" applyAlignment="1">
      <alignment vertical="center"/>
    </xf>
    <xf numFmtId="178" fontId="35" fillId="0" borderId="0" xfId="45" applyNumberFormat="1" applyFont="1" applyFill="1" applyBorder="1" applyAlignment="1">
      <alignment horizontal="centerContinuous" vertical="center"/>
    </xf>
    <xf numFmtId="178" fontId="33" fillId="0" borderId="0" xfId="45" applyNumberFormat="1" applyFont="1" applyFill="1" applyBorder="1" applyAlignment="1">
      <alignment horizontal="centerContinuous" vertical="center"/>
    </xf>
    <xf numFmtId="41" fontId="33" fillId="0" borderId="0" xfId="75" applyNumberFormat="1" applyFont="1" applyAlignment="1">
      <alignment horizontal="left" vertical="center"/>
    </xf>
    <xf numFmtId="0" fontId="33" fillId="0" borderId="14" xfId="75" applyFont="1" applyBorder="1" applyAlignment="1">
      <alignment horizontal="centerContinuous" vertical="center"/>
    </xf>
    <xf numFmtId="0" fontId="33" fillId="0" borderId="15" xfId="74" applyFont="1" applyBorder="1" applyAlignment="1">
      <alignment horizontal="distributed" vertical="center"/>
    </xf>
    <xf numFmtId="0" fontId="33" fillId="0" borderId="12" xfId="75" applyFont="1" applyBorder="1" applyAlignment="1">
      <alignment horizontal="centerContinuous" vertical="center"/>
    </xf>
    <xf numFmtId="177" fontId="33" fillId="0" borderId="12" xfId="45" applyNumberFormat="1" applyFont="1" applyFill="1" applyBorder="1" applyAlignment="1">
      <alignment vertical="center"/>
    </xf>
    <xf numFmtId="176" fontId="33" fillId="0" borderId="9" xfId="45" applyNumberFormat="1" applyFont="1" applyFill="1" applyBorder="1" applyAlignment="1">
      <alignment vertical="center"/>
    </xf>
    <xf numFmtId="0" fontId="33" fillId="0" borderId="20" xfId="75" applyFont="1" applyBorder="1" applyAlignment="1">
      <alignment horizontal="centerContinuous" vertical="center"/>
    </xf>
    <xf numFmtId="0" fontId="33" fillId="0" borderId="0" xfId="74" applyFont="1" applyAlignment="1">
      <alignment horizontal="distributed" vertical="center"/>
    </xf>
    <xf numFmtId="0" fontId="33" fillId="0" borderId="22" xfId="75" applyFont="1" applyBorder="1" applyAlignment="1">
      <alignment horizontal="centerContinuous" vertical="center"/>
    </xf>
    <xf numFmtId="177" fontId="33" fillId="0" borderId="22" xfId="45" applyNumberFormat="1" applyFont="1" applyFill="1" applyBorder="1" applyAlignment="1">
      <alignment vertical="center"/>
    </xf>
    <xf numFmtId="176" fontId="33" fillId="0" borderId="13" xfId="45" applyNumberFormat="1" applyFont="1" applyFill="1" applyBorder="1" applyAlignment="1">
      <alignment vertical="center"/>
    </xf>
    <xf numFmtId="0" fontId="33" fillId="0" borderId="18" xfId="75" applyFont="1" applyBorder="1" applyAlignment="1">
      <alignment horizontal="centerContinuous" vertical="center"/>
    </xf>
    <xf numFmtId="0" fontId="33" fillId="0" borderId="19" xfId="74" applyFont="1" applyBorder="1" applyAlignment="1">
      <alignment horizontal="distributed" vertical="center"/>
    </xf>
    <xf numFmtId="0" fontId="33" fillId="0" borderId="21" xfId="75" applyFont="1" applyBorder="1" applyAlignment="1">
      <alignment horizontal="centerContinuous" vertical="center"/>
    </xf>
    <xf numFmtId="177" fontId="33" fillId="0" borderId="21" xfId="45" applyNumberFormat="1" applyFont="1" applyFill="1" applyBorder="1" applyAlignment="1">
      <alignment vertical="center"/>
    </xf>
    <xf numFmtId="176" fontId="33" fillId="0" borderId="11" xfId="45" applyNumberFormat="1" applyFont="1" applyFill="1" applyBorder="1" applyAlignment="1">
      <alignment vertical="center"/>
    </xf>
    <xf numFmtId="0" fontId="33" fillId="0" borderId="16" xfId="75" applyFont="1" applyBorder="1" applyAlignment="1">
      <alignment horizontal="centerContinuous" vertical="center"/>
    </xf>
    <xf numFmtId="0" fontId="33" fillId="0" borderId="3" xfId="74" applyFont="1" applyBorder="1" applyAlignment="1">
      <alignment horizontal="distributed" vertical="center"/>
    </xf>
    <xf numFmtId="0" fontId="33" fillId="0" borderId="17" xfId="75" applyFont="1" applyBorder="1" applyAlignment="1">
      <alignment horizontal="centerContinuous" vertical="center"/>
    </xf>
    <xf numFmtId="177" fontId="33" fillId="0" borderId="16" xfId="45" applyNumberFormat="1" applyFont="1" applyFill="1" applyBorder="1" applyAlignment="1">
      <alignment vertical="center"/>
    </xf>
    <xf numFmtId="177" fontId="33" fillId="0" borderId="17" xfId="45" applyNumberFormat="1" applyFont="1" applyFill="1" applyBorder="1" applyAlignment="1">
      <alignment vertical="center"/>
    </xf>
    <xf numFmtId="176" fontId="33" fillId="0" borderId="4" xfId="45" applyNumberFormat="1" applyFont="1" applyFill="1" applyBorder="1" applyAlignment="1">
      <alignment vertical="center"/>
    </xf>
    <xf numFmtId="176" fontId="33" fillId="0" borderId="17" xfId="45" applyNumberFormat="1" applyFont="1" applyFill="1" applyBorder="1" applyAlignment="1">
      <alignment vertical="center"/>
    </xf>
    <xf numFmtId="190" fontId="33" fillId="2" borderId="0" xfId="77" applyNumberFormat="1" applyFont="1" applyFill="1" applyAlignment="1">
      <alignment vertical="center"/>
    </xf>
    <xf numFmtId="0" fontId="41" fillId="2" borderId="0" xfId="80" applyFont="1" applyFill="1" applyAlignment="1">
      <alignment horizontal="centerContinuous" vertical="center"/>
    </xf>
    <xf numFmtId="190" fontId="35" fillId="2" borderId="0" xfId="77" applyNumberFormat="1" applyFont="1" applyFill="1" applyAlignment="1">
      <alignment horizontal="centerContinuous" vertical="center"/>
    </xf>
    <xf numFmtId="190" fontId="35" fillId="2" borderId="0" xfId="77" applyNumberFormat="1" applyFont="1" applyFill="1" applyAlignment="1">
      <alignment vertical="center"/>
    </xf>
    <xf numFmtId="190" fontId="33" fillId="0" borderId="0" xfId="77" applyNumberFormat="1" applyFont="1" applyAlignment="1">
      <alignment vertical="center"/>
    </xf>
    <xf numFmtId="190" fontId="33" fillId="2" borderId="11" xfId="77" applyNumberFormat="1" applyFont="1" applyFill="1" applyBorder="1" applyAlignment="1">
      <alignment horizontal="center" vertical="center"/>
    </xf>
    <xf numFmtId="190" fontId="33" fillId="2" borderId="4" xfId="77" applyNumberFormat="1" applyFont="1" applyFill="1" applyBorder="1" applyAlignment="1">
      <alignment horizontal="center" vertical="center" wrapText="1"/>
    </xf>
    <xf numFmtId="0" fontId="33" fillId="0" borderId="4" xfId="77" applyFont="1" applyBorder="1" applyAlignment="1">
      <alignment horizontal="center" vertical="center"/>
    </xf>
    <xf numFmtId="0" fontId="33" fillId="2" borderId="4" xfId="29" applyNumberFormat="1" applyFont="1" applyFill="1" applyBorder="1" applyAlignment="1">
      <alignment horizontal="center" vertical="center"/>
    </xf>
    <xf numFmtId="193" fontId="43" fillId="2" borderId="0" xfId="77" applyNumberFormat="1" applyFont="1" applyFill="1" applyAlignment="1">
      <alignment vertical="center"/>
    </xf>
    <xf numFmtId="190" fontId="33" fillId="0" borderId="4" xfId="77" applyNumberFormat="1" applyFont="1" applyBorder="1" applyAlignment="1">
      <alignment horizontal="center" vertical="center" wrapText="1"/>
    </xf>
    <xf numFmtId="193" fontId="43" fillId="0" borderId="0" xfId="77" applyNumberFormat="1" applyFont="1" applyAlignment="1">
      <alignment vertical="center"/>
    </xf>
    <xf numFmtId="190" fontId="33" fillId="2" borderId="4" xfId="77" applyNumberFormat="1" applyFont="1" applyFill="1" applyBorder="1" applyAlignment="1">
      <alignment horizontal="center" vertical="center"/>
    </xf>
    <xf numFmtId="190" fontId="33" fillId="2" borderId="0" xfId="77" applyNumberFormat="1" applyFont="1" applyFill="1" applyAlignment="1">
      <alignment horizontal="right" vertical="center"/>
    </xf>
    <xf numFmtId="0" fontId="33" fillId="2" borderId="4" xfId="77" applyFont="1" applyFill="1" applyBorder="1" applyAlignment="1">
      <alignment horizontal="center" vertical="center"/>
    </xf>
    <xf numFmtId="190" fontId="33" fillId="2" borderId="0" xfId="77" applyNumberFormat="1" applyFont="1" applyFill="1" applyAlignment="1">
      <alignment horizontal="center" vertical="center"/>
    </xf>
    <xf numFmtId="0" fontId="33" fillId="2" borderId="0" xfId="77" applyFont="1" applyFill="1" applyAlignment="1">
      <alignment horizontal="center" vertical="center"/>
    </xf>
    <xf numFmtId="0" fontId="33" fillId="2" borderId="0" xfId="29" applyNumberFormat="1" applyFont="1" applyFill="1" applyBorder="1" applyAlignment="1">
      <alignment horizontal="center" vertical="center"/>
    </xf>
    <xf numFmtId="190" fontId="33" fillId="2" borderId="0" xfId="77" applyNumberFormat="1" applyFont="1" applyFill="1" applyAlignment="1">
      <alignment horizontal="left" vertical="center"/>
    </xf>
    <xf numFmtId="0" fontId="44" fillId="0" borderId="0" xfId="0" applyFont="1" applyAlignment="1">
      <alignment horizontal="centerContinuous" vertical="center"/>
    </xf>
    <xf numFmtId="0" fontId="33" fillId="0" borderId="4" xfId="0" quotePrefix="1" applyFont="1" applyBorder="1" applyAlignment="1">
      <alignment horizontal="center" vertical="center"/>
    </xf>
    <xf numFmtId="192" fontId="33" fillId="0" borderId="4" xfId="0" applyNumberFormat="1" applyFont="1" applyBorder="1" applyAlignment="1">
      <alignment horizontal="right" vertical="center" shrinkToFit="1"/>
    </xf>
    <xf numFmtId="41" fontId="33" fillId="0" borderId="4" xfId="29" applyFont="1" applyBorder="1" applyAlignment="1">
      <alignment horizontal="center" vertical="center" shrinkToFit="1"/>
    </xf>
    <xf numFmtId="10" fontId="33" fillId="0" borderId="4" xfId="27" applyNumberFormat="1" applyFont="1" applyBorder="1" applyAlignment="1">
      <alignment horizontal="center" vertical="center" shrinkToFit="1"/>
    </xf>
    <xf numFmtId="41" fontId="33" fillId="0" borderId="4" xfId="0" applyNumberFormat="1" applyFont="1" applyBorder="1" applyAlignment="1">
      <alignment horizontal="center" vertical="center" shrinkToFit="1"/>
    </xf>
    <xf numFmtId="0" fontId="33" fillId="6" borderId="4" xfId="0" applyFont="1" applyFill="1" applyBorder="1" applyAlignment="1">
      <alignment horizontal="center" vertical="center"/>
    </xf>
    <xf numFmtId="0" fontId="33" fillId="6" borderId="4" xfId="0" quotePrefix="1" applyFont="1" applyFill="1" applyBorder="1" applyAlignment="1">
      <alignment horizontal="center" vertical="center"/>
    </xf>
    <xf numFmtId="192" fontId="33" fillId="6" borderId="4" xfId="0" applyNumberFormat="1" applyFont="1" applyFill="1" applyBorder="1" applyAlignment="1">
      <alignment horizontal="right" vertical="center" shrinkToFit="1"/>
    </xf>
    <xf numFmtId="41" fontId="33" fillId="6" borderId="4" xfId="29" applyFont="1" applyFill="1" applyBorder="1" applyAlignment="1">
      <alignment horizontal="center" vertical="center" shrinkToFit="1"/>
    </xf>
    <xf numFmtId="10" fontId="33" fillId="6" borderId="4" xfId="27" applyNumberFormat="1" applyFont="1" applyFill="1" applyBorder="1" applyAlignment="1">
      <alignment horizontal="center" vertical="center" shrinkToFit="1"/>
    </xf>
    <xf numFmtId="41" fontId="33" fillId="6" borderId="4" xfId="0" applyNumberFormat="1" applyFont="1" applyFill="1" applyBorder="1" applyAlignment="1">
      <alignment horizontal="center" vertical="center" shrinkToFit="1"/>
    </xf>
    <xf numFmtId="0" fontId="33" fillId="6" borderId="0" xfId="0" applyFont="1" applyFill="1" applyAlignment="1">
      <alignment vertical="center"/>
    </xf>
    <xf numFmtId="0" fontId="33" fillId="6" borderId="4" xfId="0" applyFont="1" applyFill="1" applyBorder="1" applyAlignment="1">
      <alignment horizontal="center" vertical="center" shrinkToFit="1"/>
    </xf>
    <xf numFmtId="0" fontId="36" fillId="6" borderId="4" xfId="0" applyFont="1" applyFill="1" applyBorder="1" applyAlignment="1">
      <alignment horizontal="center" vertical="center"/>
    </xf>
    <xf numFmtId="0" fontId="36" fillId="6" borderId="4" xfId="0" quotePrefix="1" applyFont="1" applyFill="1" applyBorder="1" applyAlignment="1">
      <alignment horizontal="center" vertical="center"/>
    </xf>
    <xf numFmtId="192" fontId="36" fillId="6" borderId="4" xfId="0" applyNumberFormat="1" applyFont="1" applyFill="1" applyBorder="1" applyAlignment="1">
      <alignment horizontal="right" vertical="center" shrinkToFit="1"/>
    </xf>
    <xf numFmtId="41" fontId="36" fillId="6" borderId="4" xfId="29" applyFont="1" applyFill="1" applyBorder="1" applyAlignment="1">
      <alignment horizontal="center" vertical="center" shrinkToFit="1"/>
    </xf>
    <xf numFmtId="177" fontId="36" fillId="6" borderId="4" xfId="0" applyNumberFormat="1" applyFont="1" applyFill="1" applyBorder="1" applyAlignment="1">
      <alignment horizontal="right" vertical="center" shrinkToFit="1"/>
    </xf>
    <xf numFmtId="10" fontId="36" fillId="6" borderId="4" xfId="27" applyNumberFormat="1" applyFont="1" applyFill="1" applyBorder="1" applyAlignment="1">
      <alignment horizontal="center" vertical="center" shrinkToFit="1"/>
    </xf>
    <xf numFmtId="41" fontId="36" fillId="6" borderId="4" xfId="0" applyNumberFormat="1" applyFont="1" applyFill="1" applyBorder="1" applyAlignment="1">
      <alignment horizontal="center" vertical="center" shrinkToFit="1"/>
    </xf>
    <xf numFmtId="41" fontId="33" fillId="0" borderId="0" xfId="29" applyFont="1" applyAlignment="1">
      <alignment vertical="center"/>
    </xf>
    <xf numFmtId="192" fontId="33" fillId="0" borderId="0" xfId="0" applyNumberFormat="1" applyFont="1" applyAlignment="1">
      <alignment vertical="center"/>
    </xf>
    <xf numFmtId="2" fontId="33" fillId="0" borderId="0" xfId="0" applyNumberFormat="1" applyFont="1" applyAlignment="1">
      <alignment vertical="center"/>
    </xf>
    <xf numFmtId="193" fontId="43" fillId="2" borderId="4" xfId="77" applyNumberFormat="1" applyFont="1" applyFill="1" applyBorder="1" applyAlignment="1">
      <alignment vertical="center"/>
    </xf>
    <xf numFmtId="193" fontId="43" fillId="0" borderId="4" xfId="77" applyNumberFormat="1" applyFont="1" applyBorder="1" applyAlignment="1">
      <alignment horizontal="center" vertical="center" wrapText="1"/>
    </xf>
    <xf numFmtId="193" fontId="43" fillId="0" borderId="4" xfId="77" applyNumberFormat="1" applyFont="1" applyBorder="1" applyAlignment="1">
      <alignment vertical="center"/>
    </xf>
    <xf numFmtId="0" fontId="33" fillId="2" borderId="0" xfId="0" applyFont="1" applyFill="1" applyAlignment="1">
      <alignment horizontal="center" vertical="center" wrapText="1"/>
    </xf>
    <xf numFmtId="49" fontId="33" fillId="0" borderId="18" xfId="0" applyNumberFormat="1" applyFont="1" applyBorder="1" applyAlignment="1">
      <alignment horizontal="center" vertical="center" wrapText="1"/>
    </xf>
    <xf numFmtId="49" fontId="33" fillId="0" borderId="19" xfId="0" applyNumberFormat="1" applyFont="1" applyBorder="1" applyAlignment="1">
      <alignment horizontal="center" vertical="center" wrapText="1"/>
    </xf>
    <xf numFmtId="49" fontId="33" fillId="2" borderId="21" xfId="0" applyNumberFormat="1" applyFont="1" applyFill="1" applyBorder="1" applyAlignment="1">
      <alignment horizontal="center" vertical="center" wrapText="1"/>
    </xf>
    <xf numFmtId="41" fontId="33" fillId="0" borderId="16" xfId="29" applyFont="1" applyFill="1" applyBorder="1" applyAlignment="1">
      <alignment horizontal="left" vertical="center"/>
    </xf>
    <xf numFmtId="0" fontId="33" fillId="0" borderId="3" xfId="29" applyNumberFormat="1" applyFont="1" applyFill="1" applyBorder="1" applyAlignment="1">
      <alignment horizontal="distributed" vertical="center"/>
    </xf>
    <xf numFmtId="41" fontId="33" fillId="2" borderId="17" xfId="29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 shrinkToFit="1"/>
    </xf>
    <xf numFmtId="41" fontId="43" fillId="2" borderId="0" xfId="29" applyFont="1" applyFill="1" applyAlignment="1">
      <alignment horizontal="left" vertical="center"/>
    </xf>
    <xf numFmtId="0" fontId="33" fillId="0" borderId="4" xfId="29" applyNumberFormat="1" applyFont="1" applyFill="1" applyBorder="1" applyAlignment="1">
      <alignment horizontal="center" vertical="center" wrapText="1"/>
    </xf>
    <xf numFmtId="183" fontId="43" fillId="2" borderId="0" xfId="29" applyNumberFormat="1" applyFont="1" applyFill="1" applyAlignment="1">
      <alignment horizontal="left" vertical="center"/>
    </xf>
    <xf numFmtId="0" fontId="33" fillId="0" borderId="16" xfId="29" applyNumberFormat="1" applyFont="1" applyFill="1" applyBorder="1" applyAlignment="1">
      <alignment horizontal="left" vertical="center"/>
    </xf>
    <xf numFmtId="0" fontId="33" fillId="0" borderId="3" xfId="29" applyNumberFormat="1" applyFont="1" applyFill="1" applyBorder="1" applyAlignment="1">
      <alignment horizontal="distributed" vertical="center" wrapText="1"/>
    </xf>
    <xf numFmtId="41" fontId="33" fillId="0" borderId="17" xfId="29" applyFont="1" applyFill="1" applyBorder="1" applyAlignment="1">
      <alignment horizontal="left" vertical="center"/>
    </xf>
    <xf numFmtId="41" fontId="33" fillId="2" borderId="0" xfId="29" applyFont="1" applyFill="1" applyBorder="1" applyAlignment="1">
      <alignment horizontal="left" vertical="center" wrapText="1"/>
    </xf>
    <xf numFmtId="0" fontId="33" fillId="0" borderId="0" xfId="63" applyFont="1" applyAlignment="1">
      <alignment vertical="center"/>
    </xf>
    <xf numFmtId="0" fontId="41" fillId="0" borderId="0" xfId="63" applyFont="1" applyAlignment="1">
      <alignment horizontal="centerContinuous" vertical="center"/>
    </xf>
    <xf numFmtId="0" fontId="33" fillId="0" borderId="0" xfId="63" applyFont="1" applyAlignment="1">
      <alignment horizontal="centerContinuous" vertical="center"/>
    </xf>
    <xf numFmtId="0" fontId="33" fillId="0" borderId="0" xfId="63" applyFont="1" applyAlignment="1">
      <alignment horizontal="right" vertical="center"/>
    </xf>
    <xf numFmtId="0" fontId="33" fillId="0" borderId="14" xfId="63" applyFont="1" applyBorder="1" applyAlignment="1">
      <alignment horizontal="centerContinuous" vertical="center"/>
    </xf>
    <xf numFmtId="0" fontId="33" fillId="0" borderId="15" xfId="63" applyFont="1" applyBorder="1" applyAlignment="1">
      <alignment horizontal="centerContinuous" vertical="center"/>
    </xf>
    <xf numFmtId="0" fontId="33" fillId="0" borderId="12" xfId="63" applyFont="1" applyBorder="1" applyAlignment="1">
      <alignment horizontal="centerContinuous" vertical="center"/>
    </xf>
    <xf numFmtId="0" fontId="33" fillId="0" borderId="4" xfId="63" applyFont="1" applyBorder="1" applyAlignment="1">
      <alignment horizontal="center" vertical="center"/>
    </xf>
    <xf numFmtId="0" fontId="33" fillId="0" borderId="16" xfId="63" applyFont="1" applyBorder="1" applyAlignment="1">
      <alignment horizontal="center" vertical="center"/>
    </xf>
    <xf numFmtId="0" fontId="33" fillId="0" borderId="3" xfId="63" applyFont="1" applyBorder="1" applyAlignment="1">
      <alignment horizontal="center" vertical="center"/>
    </xf>
    <xf numFmtId="0" fontId="33" fillId="0" borderId="9" xfId="63" applyFont="1" applyBorder="1" applyAlignment="1">
      <alignment horizontal="center" vertical="center"/>
    </xf>
    <xf numFmtId="177" fontId="33" fillId="0" borderId="9" xfId="63" applyNumberFormat="1" applyFont="1" applyBorder="1" applyAlignment="1">
      <alignment horizontal="right" vertical="center"/>
    </xf>
    <xf numFmtId="177" fontId="33" fillId="0" borderId="14" xfId="63" applyNumberFormat="1" applyFont="1" applyBorder="1" applyAlignment="1">
      <alignment horizontal="right" vertical="center"/>
    </xf>
    <xf numFmtId="177" fontId="33" fillId="0" borderId="15" xfId="63" applyNumberFormat="1" applyFont="1" applyBorder="1" applyAlignment="1">
      <alignment horizontal="right" vertical="center"/>
    </xf>
    <xf numFmtId="0" fontId="33" fillId="0" borderId="20" xfId="63" applyFont="1" applyBorder="1" applyAlignment="1">
      <alignment vertical="center"/>
    </xf>
    <xf numFmtId="0" fontId="33" fillId="0" borderId="0" xfId="63" applyFont="1" applyAlignment="1">
      <alignment horizontal="distributed" vertical="center"/>
    </xf>
    <xf numFmtId="0" fontId="33" fillId="0" borderId="22" xfId="63" applyFont="1" applyBorder="1" applyAlignment="1">
      <alignment vertical="center"/>
    </xf>
    <xf numFmtId="177" fontId="33" fillId="0" borderId="0" xfId="63" applyNumberFormat="1" applyFont="1" applyAlignment="1">
      <alignment vertical="center"/>
    </xf>
    <xf numFmtId="0" fontId="33" fillId="0" borderId="18" xfId="63" applyFont="1" applyBorder="1" applyAlignment="1">
      <alignment vertical="center"/>
    </xf>
    <xf numFmtId="0" fontId="33" fillId="0" borderId="19" xfId="63" applyFont="1" applyBorder="1" applyAlignment="1">
      <alignment horizontal="distributed" vertical="center"/>
    </xf>
    <xf numFmtId="0" fontId="33" fillId="0" borderId="21" xfId="63" applyFont="1" applyBorder="1" applyAlignment="1">
      <alignment vertical="center"/>
    </xf>
    <xf numFmtId="0" fontId="33" fillId="0" borderId="0" xfId="63" applyFont="1" applyAlignment="1">
      <alignment horizontal="left" vertical="center"/>
    </xf>
    <xf numFmtId="0" fontId="35" fillId="2" borderId="0" xfId="0" quotePrefix="1" applyFont="1" applyFill="1" applyAlignment="1">
      <alignment horizontal="centerContinuous" vertical="center"/>
    </xf>
    <xf numFmtId="41" fontId="35" fillId="2" borderId="0" xfId="29" applyFont="1" applyFill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41" fontId="33" fillId="2" borderId="0" xfId="29" applyFont="1" applyFill="1" applyBorder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16" xfId="0" applyFont="1" applyFill="1" applyBorder="1" applyAlignment="1">
      <alignment vertical="center"/>
    </xf>
    <xf numFmtId="0" fontId="33" fillId="2" borderId="3" xfId="0" applyFont="1" applyFill="1" applyBorder="1" applyAlignment="1">
      <alignment vertical="center"/>
    </xf>
    <xf numFmtId="0" fontId="33" fillId="2" borderId="17" xfId="0" applyFont="1" applyFill="1" applyBorder="1" applyAlignment="1">
      <alignment vertical="center"/>
    </xf>
    <xf numFmtId="3" fontId="33" fillId="2" borderId="4" xfId="0" applyNumberFormat="1" applyFont="1" applyFill="1" applyBorder="1" applyAlignment="1">
      <alignment vertical="center"/>
    </xf>
    <xf numFmtId="41" fontId="33" fillId="2" borderId="3" xfId="29" applyFont="1" applyFill="1" applyBorder="1" applyAlignment="1">
      <alignment horizontal="left" vertical="center"/>
    </xf>
    <xf numFmtId="177" fontId="33" fillId="2" borderId="4" xfId="29" applyNumberFormat="1" applyFont="1" applyFill="1" applyBorder="1" applyAlignment="1">
      <alignment horizontal="center" vertical="center"/>
    </xf>
    <xf numFmtId="9" fontId="75" fillId="2" borderId="4" xfId="29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" fontId="43" fillId="0" borderId="4" xfId="0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left" vertical="center"/>
    </xf>
    <xf numFmtId="186" fontId="43" fillId="0" borderId="4" xfId="29" applyNumberFormat="1" applyFont="1" applyFill="1" applyBorder="1" applyAlignment="1">
      <alignment vertical="center"/>
    </xf>
    <xf numFmtId="186" fontId="33" fillId="0" borderId="0" xfId="29" applyNumberFormat="1" applyFont="1" applyFill="1" applyAlignment="1">
      <alignment vertical="center"/>
    </xf>
    <xf numFmtId="186" fontId="33" fillId="0" borderId="0" xfId="29" applyNumberFormat="1" applyFont="1" applyFill="1" applyBorder="1" applyAlignment="1">
      <alignment vertical="center"/>
    </xf>
    <xf numFmtId="49" fontId="33" fillId="0" borderId="4" xfId="29" applyNumberFormat="1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41" fontId="33" fillId="0" borderId="16" xfId="29" applyFont="1" applyFill="1" applyBorder="1" applyAlignment="1">
      <alignment vertical="center"/>
    </xf>
    <xf numFmtId="41" fontId="33" fillId="0" borderId="16" xfId="29" applyFont="1" applyFill="1" applyBorder="1" applyAlignment="1">
      <alignment vertical="center" wrapText="1"/>
    </xf>
    <xf numFmtId="0" fontId="38" fillId="0" borderId="0" xfId="81" quotePrefix="1" applyFont="1" applyAlignment="1">
      <alignment horizontal="left" vertical="center"/>
    </xf>
    <xf numFmtId="0" fontId="43" fillId="0" borderId="0" xfId="81" applyFont="1" applyAlignment="1">
      <alignment vertical="center"/>
    </xf>
    <xf numFmtId="0" fontId="43" fillId="0" borderId="0" xfId="81" applyFont="1" applyAlignment="1">
      <alignment horizontal="left" vertical="center"/>
    </xf>
    <xf numFmtId="0" fontId="33" fillId="0" borderId="0" xfId="81" applyFont="1" applyAlignment="1">
      <alignment horizontal="left" vertical="center"/>
    </xf>
    <xf numFmtId="0" fontId="33" fillId="0" borderId="0" xfId="29" quotePrefix="1" applyNumberFormat="1" applyFont="1" applyFill="1" applyBorder="1" applyAlignment="1">
      <alignment horizontal="left" vertical="center"/>
    </xf>
    <xf numFmtId="0" fontId="43" fillId="0" borderId="0" xfId="29" quotePrefix="1" applyNumberFormat="1" applyFont="1" applyFill="1" applyBorder="1" applyAlignment="1">
      <alignment horizontal="left" vertical="center"/>
    </xf>
    <xf numFmtId="0" fontId="33" fillId="0" borderId="0" xfId="81" applyFont="1" applyAlignment="1">
      <alignment horizontal="left" vertical="center" shrinkToFit="1"/>
    </xf>
    <xf numFmtId="1" fontId="43" fillId="0" borderId="0" xfId="0" applyNumberFormat="1" applyFont="1" applyAlignment="1">
      <alignment horizontal="center" vertical="center"/>
    </xf>
    <xf numFmtId="186" fontId="43" fillId="0" borderId="0" xfId="29" applyNumberFormat="1" applyFont="1" applyFill="1" applyAlignment="1">
      <alignment vertical="center"/>
    </xf>
    <xf numFmtId="43" fontId="43" fillId="0" borderId="0" xfId="0" applyNumberFormat="1" applyFont="1" applyAlignment="1">
      <alignment horizontal="center" vertical="center"/>
    </xf>
    <xf numFmtId="0" fontId="33" fillId="0" borderId="0" xfId="29" applyNumberFormat="1" applyFont="1" applyFill="1" applyAlignment="1">
      <alignment horizontal="center" vertical="center"/>
    </xf>
    <xf numFmtId="0" fontId="35" fillId="0" borderId="0" xfId="29" applyNumberFormat="1" applyFont="1" applyFill="1" applyAlignment="1">
      <alignment horizontal="centerContinuous" vertical="center"/>
    </xf>
    <xf numFmtId="0" fontId="35" fillId="0" borderId="0" xfId="29" applyNumberFormat="1" applyFont="1" applyFill="1" applyAlignment="1">
      <alignment horizontal="center" vertical="center"/>
    </xf>
    <xf numFmtId="0" fontId="33" fillId="0" borderId="0" xfId="29" applyNumberFormat="1" applyFont="1" applyFill="1" applyAlignment="1">
      <alignment horizontal="centerContinuous" vertical="center"/>
    </xf>
    <xf numFmtId="0" fontId="33" fillId="0" borderId="0" xfId="29" applyNumberFormat="1" applyFont="1" applyFill="1" applyAlignment="1">
      <alignment horizontal="right" vertical="center"/>
    </xf>
    <xf numFmtId="0" fontId="33" fillId="0" borderId="0" xfId="29" applyNumberFormat="1" applyFont="1" applyFill="1" applyBorder="1" applyAlignment="1">
      <alignment vertical="center"/>
    </xf>
    <xf numFmtId="177" fontId="33" fillId="0" borderId="4" xfId="29" applyNumberFormat="1" applyFont="1" applyFill="1" applyBorder="1" applyAlignment="1">
      <alignment horizontal="right" vertical="center" shrinkToFit="1"/>
    </xf>
    <xf numFmtId="0" fontId="33" fillId="0" borderId="4" xfId="29" applyNumberFormat="1" applyFont="1" applyFill="1" applyBorder="1" applyAlignment="1">
      <alignment horizontal="center" vertical="center" shrinkToFit="1"/>
    </xf>
    <xf numFmtId="177" fontId="33" fillId="0" borderId="9" xfId="29" applyNumberFormat="1" applyFont="1" applyFill="1" applyBorder="1" applyAlignment="1">
      <alignment horizontal="right" vertical="center" shrinkToFit="1"/>
    </xf>
    <xf numFmtId="0" fontId="33" fillId="0" borderId="9" xfId="29" applyNumberFormat="1" applyFont="1" applyFill="1" applyBorder="1" applyAlignment="1">
      <alignment horizontal="center" vertical="center" shrinkToFit="1"/>
    </xf>
    <xf numFmtId="41" fontId="33" fillId="0" borderId="4" xfId="29" applyFont="1" applyFill="1" applyBorder="1" applyAlignment="1">
      <alignment horizontal="center" vertical="center" shrinkToFit="1"/>
    </xf>
    <xf numFmtId="3" fontId="33" fillId="0" borderId="11" xfId="0" applyNumberFormat="1" applyFont="1" applyBorder="1" applyAlignment="1">
      <alignment horizontal="center" vertical="center" wrapText="1"/>
    </xf>
    <xf numFmtId="177" fontId="33" fillId="0" borderId="4" xfId="0" applyNumberFormat="1" applyFont="1" applyBorder="1" applyAlignment="1">
      <alignment horizontal="center" vertical="center"/>
    </xf>
    <xf numFmtId="41" fontId="33" fillId="0" borderId="18" xfId="29" applyFont="1" applyFill="1" applyBorder="1" applyAlignment="1">
      <alignment horizontal="left" vertical="center"/>
    </xf>
    <xf numFmtId="0" fontId="33" fillId="0" borderId="19" xfId="29" applyNumberFormat="1" applyFont="1" applyFill="1" applyBorder="1" applyAlignment="1">
      <alignment horizontal="distributed" vertical="center"/>
    </xf>
    <xf numFmtId="41" fontId="33" fillId="0" borderId="21" xfId="29" applyFont="1" applyFill="1" applyBorder="1" applyAlignment="1">
      <alignment horizontal="left" vertical="center"/>
    </xf>
    <xf numFmtId="41" fontId="35" fillId="0" borderId="0" xfId="29" applyFont="1" applyFill="1" applyAlignment="1">
      <alignment horizontal="center" vertical="center"/>
    </xf>
    <xf numFmtId="0" fontId="33" fillId="2" borderId="0" xfId="0" quotePrefix="1" applyFont="1" applyFill="1" applyAlignment="1">
      <alignment horizontal="centerContinuous" vertical="center"/>
    </xf>
    <xf numFmtId="41" fontId="33" fillId="0" borderId="0" xfId="29" applyFont="1" applyFill="1" applyBorder="1" applyAlignment="1">
      <alignment horizontal="centerContinuous" vertical="center"/>
    </xf>
    <xf numFmtId="0" fontId="33" fillId="2" borderId="14" xfId="79" applyFont="1" applyFill="1" applyBorder="1" applyAlignment="1">
      <alignment horizontal="center" vertical="center"/>
    </xf>
    <xf numFmtId="0" fontId="33" fillId="2" borderId="15" xfId="79" applyFont="1" applyFill="1" applyBorder="1" applyAlignment="1">
      <alignment horizontal="center" vertical="center"/>
    </xf>
    <xf numFmtId="0" fontId="33" fillId="2" borderId="15" xfId="79" applyFont="1" applyFill="1" applyBorder="1" applyAlignment="1">
      <alignment horizontal="right" vertical="center"/>
    </xf>
    <xf numFmtId="0" fontId="33" fillId="2" borderId="12" xfId="79" applyFont="1" applyFill="1" applyBorder="1" applyAlignment="1">
      <alignment horizontal="right" vertical="center"/>
    </xf>
    <xf numFmtId="0" fontId="33" fillId="2" borderId="20" xfId="79" applyFont="1" applyFill="1" applyBorder="1" applyAlignment="1">
      <alignment horizontal="left" vertical="center"/>
    </xf>
    <xf numFmtId="0" fontId="33" fillId="2" borderId="0" xfId="79" applyFont="1" applyFill="1" applyAlignment="1">
      <alignment horizontal="left" vertical="center"/>
    </xf>
    <xf numFmtId="0" fontId="33" fillId="2" borderId="0" xfId="79" applyFont="1" applyFill="1" applyAlignment="1">
      <alignment horizontal="center" vertical="center"/>
    </xf>
    <xf numFmtId="0" fontId="33" fillId="2" borderId="0" xfId="79" applyFont="1" applyFill="1" applyAlignment="1">
      <alignment horizontal="right" vertical="center"/>
    </xf>
    <xf numFmtId="0" fontId="33" fillId="2" borderId="22" xfId="79" applyFont="1" applyFill="1" applyBorder="1" applyAlignment="1">
      <alignment horizontal="right" vertical="center"/>
    </xf>
    <xf numFmtId="176" fontId="33" fillId="0" borderId="16" xfId="29" applyNumberFormat="1" applyFont="1" applyFill="1" applyBorder="1" applyAlignment="1">
      <alignment horizontal="center" vertical="center" shrinkToFit="1"/>
    </xf>
    <xf numFmtId="176" fontId="33" fillId="2" borderId="0" xfId="0" applyNumberFormat="1" applyFont="1" applyFill="1" applyAlignment="1">
      <alignment horizontal="center" vertical="center"/>
    </xf>
    <xf numFmtId="0" fontId="33" fillId="2" borderId="3" xfId="0" applyFont="1" applyFill="1" applyBorder="1" applyAlignment="1">
      <alignment horizontal="distributed" vertical="center"/>
    </xf>
    <xf numFmtId="176" fontId="33" fillId="0" borderId="4" xfId="29" applyNumberFormat="1" applyFont="1" applyFill="1" applyBorder="1" applyAlignment="1">
      <alignment horizontal="center" vertical="center" shrinkToFit="1"/>
    </xf>
    <xf numFmtId="0" fontId="33" fillId="6" borderId="3" xfId="0" applyFont="1" applyFill="1" applyBorder="1" applyAlignment="1">
      <alignment horizontal="distributed" vertical="center"/>
    </xf>
    <xf numFmtId="176" fontId="33" fillId="6" borderId="16" xfId="29" applyNumberFormat="1" applyFont="1" applyFill="1" applyBorder="1" applyAlignment="1">
      <alignment horizontal="center" vertical="center" shrinkToFit="1"/>
    </xf>
    <xf numFmtId="41" fontId="33" fillId="6" borderId="4" xfId="29" applyFont="1" applyFill="1" applyBorder="1" applyAlignment="1">
      <alignment horizontal="left" vertical="center" shrinkToFit="1"/>
    </xf>
    <xf numFmtId="194" fontId="33" fillId="0" borderId="0" xfId="0" applyNumberFormat="1" applyFont="1" applyAlignment="1">
      <alignment horizontal="center" vertical="center"/>
    </xf>
    <xf numFmtId="41" fontId="33" fillId="6" borderId="4" xfId="29" applyFont="1" applyFill="1" applyBorder="1" applyAlignment="1">
      <alignment horizontal="left" vertical="center"/>
    </xf>
    <xf numFmtId="41" fontId="33" fillId="5" borderId="0" xfId="29" applyFont="1" applyFill="1" applyAlignment="1">
      <alignment horizontal="center" vertical="center"/>
    </xf>
    <xf numFmtId="41" fontId="33" fillId="5" borderId="0" xfId="0" applyNumberFormat="1" applyFont="1" applyFill="1" applyAlignment="1">
      <alignment horizontal="center" vertical="center"/>
    </xf>
    <xf numFmtId="0" fontId="46" fillId="0" borderId="0" xfId="62" applyFont="1" applyAlignment="1">
      <alignment vertical="center"/>
    </xf>
    <xf numFmtId="49" fontId="33" fillId="0" borderId="0" xfId="59" applyNumberFormat="1" applyFont="1" applyAlignment="1">
      <alignment horizontal="right" vertical="center"/>
    </xf>
    <xf numFmtId="0" fontId="46" fillId="7" borderId="0" xfId="62" applyFont="1" applyFill="1" applyAlignment="1">
      <alignment vertical="center"/>
    </xf>
    <xf numFmtId="0" fontId="46" fillId="6" borderId="0" xfId="62" applyFont="1" applyFill="1" applyAlignment="1">
      <alignment vertical="center"/>
    </xf>
    <xf numFmtId="0" fontId="35" fillId="0" borderId="0" xfId="37" applyNumberFormat="1" applyFont="1" applyBorder="1" applyAlignment="1">
      <alignment vertical="center"/>
    </xf>
    <xf numFmtId="0" fontId="33" fillId="7" borderId="0" xfId="0" applyFont="1" applyFill="1" applyAlignment="1">
      <alignment vertical="center"/>
    </xf>
    <xf numFmtId="0" fontId="46" fillId="8" borderId="0" xfId="62" applyFont="1" applyFill="1" applyAlignment="1">
      <alignment vertical="center"/>
    </xf>
    <xf numFmtId="0" fontId="46" fillId="9" borderId="0" xfId="62" applyFont="1" applyFill="1" applyAlignment="1">
      <alignment vertical="center"/>
    </xf>
    <xf numFmtId="0" fontId="35" fillId="9" borderId="36" xfId="37" applyNumberFormat="1" applyFont="1" applyFill="1" applyBorder="1" applyAlignment="1">
      <alignment vertical="center"/>
    </xf>
    <xf numFmtId="0" fontId="33" fillId="9" borderId="0" xfId="0" applyFont="1" applyFill="1" applyAlignment="1">
      <alignment vertical="center"/>
    </xf>
    <xf numFmtId="0" fontId="33" fillId="8" borderId="0" xfId="0" applyFont="1" applyFill="1" applyAlignment="1">
      <alignment vertical="center"/>
    </xf>
    <xf numFmtId="0" fontId="47" fillId="7" borderId="0" xfId="37" applyNumberFormat="1" applyFont="1" applyFill="1" applyAlignment="1">
      <alignment vertical="center" shrinkToFit="1"/>
    </xf>
    <xf numFmtId="0" fontId="76" fillId="7" borderId="0" xfId="0" quotePrefix="1" applyFont="1" applyFill="1" applyAlignment="1">
      <alignment horizontal="center" vertical="center" shrinkToFit="1"/>
    </xf>
    <xf numFmtId="0" fontId="40" fillId="0" borderId="0" xfId="62" applyFont="1" applyAlignment="1">
      <alignment vertical="center"/>
    </xf>
    <xf numFmtId="0" fontId="40" fillId="10" borderId="0" xfId="62" applyFont="1" applyFill="1" applyAlignment="1">
      <alignment vertical="center"/>
    </xf>
    <xf numFmtId="0" fontId="40" fillId="9" borderId="0" xfId="62" applyFont="1" applyFill="1" applyAlignment="1">
      <alignment vertical="center"/>
    </xf>
    <xf numFmtId="0" fontId="47" fillId="0" borderId="0" xfId="37" applyNumberFormat="1" applyFont="1" applyAlignment="1">
      <alignment vertical="center"/>
    </xf>
    <xf numFmtId="0" fontId="76" fillId="0" borderId="0" xfId="0" quotePrefix="1" applyFont="1" applyAlignment="1">
      <alignment horizontal="center" vertical="center" shrinkToFit="1"/>
    </xf>
    <xf numFmtId="0" fontId="46" fillId="10" borderId="0" xfId="62" applyFont="1" applyFill="1" applyAlignment="1">
      <alignment vertical="center"/>
    </xf>
    <xf numFmtId="0" fontId="46" fillId="0" borderId="0" xfId="59" applyFont="1" applyAlignment="1">
      <alignment vertical="center"/>
    </xf>
    <xf numFmtId="0" fontId="46" fillId="0" borderId="0" xfId="59" applyFont="1" applyAlignment="1">
      <alignment horizontal="center" vertical="center"/>
    </xf>
    <xf numFmtId="0" fontId="46" fillId="0" borderId="0" xfId="58" applyFont="1" applyAlignment="1">
      <alignment horizontal="left" vertical="center"/>
    </xf>
    <xf numFmtId="0" fontId="46" fillId="0" borderId="0" xfId="0" applyFont="1" applyAlignment="1">
      <alignment vertical="center"/>
    </xf>
    <xf numFmtId="0" fontId="77" fillId="0" borderId="0" xfId="0" quotePrefix="1" applyFont="1" applyAlignment="1">
      <alignment horizontal="center" vertical="center" shrinkToFit="1"/>
    </xf>
    <xf numFmtId="0" fontId="48" fillId="0" borderId="0" xfId="58" applyFont="1" applyAlignment="1">
      <alignment horizontal="left" vertical="center"/>
    </xf>
    <xf numFmtId="0" fontId="48" fillId="0" borderId="0" xfId="62" applyFont="1" applyAlignment="1">
      <alignment vertical="center"/>
    </xf>
    <xf numFmtId="0" fontId="49" fillId="0" borderId="0" xfId="57" quotePrefix="1" applyFont="1" applyAlignment="1">
      <alignment horizontal="right" vertical="center"/>
    </xf>
    <xf numFmtId="41" fontId="49" fillId="2" borderId="0" xfId="37" applyFont="1" applyFill="1" applyAlignment="1">
      <alignment vertical="center"/>
    </xf>
    <xf numFmtId="0" fontId="33" fillId="10" borderId="0" xfId="0" applyFont="1" applyFill="1" applyAlignment="1">
      <alignment vertical="center"/>
    </xf>
    <xf numFmtId="0" fontId="39" fillId="0" borderId="0" xfId="59" applyFont="1" applyAlignment="1">
      <alignment horizontal="center" vertical="center"/>
    </xf>
    <xf numFmtId="0" fontId="33" fillId="2" borderId="44" xfId="0" applyFont="1" applyFill="1" applyBorder="1" applyAlignment="1">
      <alignment horizontal="center" vertical="center"/>
    </xf>
    <xf numFmtId="176" fontId="36" fillId="2" borderId="42" xfId="0" applyNumberFormat="1" applyFont="1" applyFill="1" applyBorder="1" applyAlignment="1">
      <alignment horizontal="center" vertical="center"/>
    </xf>
    <xf numFmtId="176" fontId="36" fillId="2" borderId="43" xfId="0" applyNumberFormat="1" applyFont="1" applyFill="1" applyBorder="1" applyAlignment="1">
      <alignment horizontal="center" vertical="center"/>
    </xf>
    <xf numFmtId="41" fontId="33" fillId="0" borderId="13" xfId="29" applyFont="1" applyFill="1" applyBorder="1" applyAlignment="1">
      <alignment vertical="center" wrapText="1"/>
    </xf>
    <xf numFmtId="41" fontId="50" fillId="0" borderId="4" xfId="29" applyFont="1" applyFill="1" applyBorder="1" applyAlignment="1">
      <alignment vertical="center"/>
    </xf>
    <xf numFmtId="177" fontId="33" fillId="0" borderId="4" xfId="0" applyNumberFormat="1" applyFont="1" applyBorder="1" applyAlignment="1">
      <alignment horizontal="right" vertical="center" shrinkToFit="1"/>
    </xf>
    <xf numFmtId="177" fontId="33" fillId="0" borderId="4" xfId="0" applyNumberFormat="1" applyFont="1" applyBorder="1" applyAlignment="1">
      <alignment horizontal="left" vertical="center" shrinkToFit="1"/>
    </xf>
    <xf numFmtId="177" fontId="33" fillId="0" borderId="45" xfId="0" applyNumberFormat="1" applyFont="1" applyBorder="1" applyAlignment="1">
      <alignment horizontal="right" vertical="center" shrinkToFit="1"/>
    </xf>
    <xf numFmtId="41" fontId="33" fillId="0" borderId="45" xfId="29" applyFont="1" applyFill="1" applyBorder="1" applyAlignment="1">
      <alignment horizontal="left" vertical="center" shrinkToFit="1"/>
    </xf>
    <xf numFmtId="177" fontId="36" fillId="0" borderId="46" xfId="0" applyNumberFormat="1" applyFont="1" applyBorder="1" applyAlignment="1">
      <alignment horizontal="right" vertical="center" shrinkToFit="1"/>
    </xf>
    <xf numFmtId="41" fontId="33" fillId="0" borderId="46" xfId="29" applyFont="1" applyFill="1" applyBorder="1" applyAlignment="1">
      <alignment horizontal="left" vertical="center" shrinkToFit="1"/>
    </xf>
    <xf numFmtId="177" fontId="33" fillId="0" borderId="11" xfId="0" applyNumberFormat="1" applyFont="1" applyBorder="1" applyAlignment="1">
      <alignment horizontal="right" vertical="center" shrinkToFit="1"/>
    </xf>
    <xf numFmtId="41" fontId="33" fillId="0" borderId="11" xfId="29" applyFont="1" applyFill="1" applyBorder="1" applyAlignment="1">
      <alignment horizontal="left" vertical="center" shrinkToFit="1"/>
    </xf>
    <xf numFmtId="184" fontId="33" fillId="0" borderId="0" xfId="0" applyNumberFormat="1" applyFont="1" applyAlignment="1">
      <alignment vertical="center"/>
    </xf>
    <xf numFmtId="196" fontId="33" fillId="0" borderId="4" xfId="0" applyNumberFormat="1" applyFont="1" applyBorder="1" applyAlignment="1">
      <alignment horizontal="center" vertical="center"/>
    </xf>
    <xf numFmtId="41" fontId="33" fillId="0" borderId="4" xfId="29" applyFont="1" applyFill="1" applyBorder="1" applyAlignment="1">
      <alignment horizontal="left" vertical="center" wrapText="1" shrinkToFit="1"/>
    </xf>
    <xf numFmtId="177" fontId="33" fillId="0" borderId="0" xfId="0" applyNumberFormat="1" applyFont="1" applyAlignment="1">
      <alignment vertical="center"/>
    </xf>
    <xf numFmtId="41" fontId="33" fillId="0" borderId="0" xfId="0" applyNumberFormat="1" applyFont="1" applyAlignment="1">
      <alignment vertical="center"/>
    </xf>
    <xf numFmtId="0" fontId="2" fillId="0" borderId="53" xfId="49" applyBorder="1"/>
    <xf numFmtId="0" fontId="2" fillId="0" borderId="54" xfId="49" applyBorder="1"/>
    <xf numFmtId="0" fontId="2" fillId="0" borderId="55" xfId="49" applyBorder="1"/>
    <xf numFmtId="0" fontId="2" fillId="0" borderId="0" xfId="49"/>
    <xf numFmtId="0" fontId="2" fillId="0" borderId="56" xfId="49" applyBorder="1"/>
    <xf numFmtId="0" fontId="2" fillId="0" borderId="57" xfId="49" applyBorder="1"/>
    <xf numFmtId="0" fontId="51" fillId="0" borderId="0" xfId="49" applyFont="1" applyAlignment="1">
      <alignment horizontal="center"/>
    </xf>
    <xf numFmtId="0" fontId="2" fillId="0" borderId="56" xfId="49" applyBorder="1" applyAlignment="1">
      <alignment vertical="center"/>
    </xf>
    <xf numFmtId="0" fontId="53" fillId="0" borderId="57" xfId="49" applyFont="1" applyBorder="1" applyAlignment="1">
      <alignment horizontal="center" vertical="center"/>
    </xf>
    <xf numFmtId="0" fontId="2" fillId="0" borderId="0" xfId="49" applyAlignment="1">
      <alignment vertical="center"/>
    </xf>
    <xf numFmtId="0" fontId="55" fillId="0" borderId="57" xfId="49" applyFont="1" applyBorder="1" applyAlignment="1">
      <alignment horizontal="center"/>
    </xf>
    <xf numFmtId="0" fontId="55" fillId="0" borderId="0" xfId="49" applyFont="1" applyAlignment="1">
      <alignment horizontal="center"/>
    </xf>
    <xf numFmtId="0" fontId="51" fillId="0" borderId="0" xfId="49" applyFont="1" applyAlignment="1">
      <alignment horizontal="center" vertical="center"/>
    </xf>
    <xf numFmtId="0" fontId="2" fillId="0" borderId="58" xfId="49" applyBorder="1"/>
    <xf numFmtId="0" fontId="2" fillId="0" borderId="59" xfId="49" applyBorder="1"/>
    <xf numFmtId="0" fontId="57" fillId="0" borderId="0" xfId="53" applyFont="1">
      <alignment horizontal="center" vertical="center"/>
    </xf>
    <xf numFmtId="0" fontId="0" fillId="0" borderId="0" xfId="0" applyAlignment="1">
      <alignment vertical="center"/>
    </xf>
    <xf numFmtId="0" fontId="58" fillId="0" borderId="0" xfId="53" applyFont="1">
      <alignment horizontal="center" vertical="center"/>
    </xf>
    <xf numFmtId="0" fontId="59" fillId="0" borderId="0" xfId="53" applyFont="1" applyAlignment="1">
      <alignment horizontal="distributed" vertical="center"/>
    </xf>
    <xf numFmtId="0" fontId="59" fillId="0" borderId="0" xfId="53" applyFont="1" applyAlignment="1">
      <alignment vertical="center"/>
    </xf>
    <xf numFmtId="0" fontId="58" fillId="0" borderId="0" xfId="53" applyFont="1" applyAlignment="1">
      <alignment horizontal="distributed" vertical="center"/>
    </xf>
    <xf numFmtId="0" fontId="58" fillId="0" borderId="0" xfId="53" applyFont="1" applyAlignment="1">
      <alignment horizontal="left" vertical="center"/>
    </xf>
    <xf numFmtId="0" fontId="59" fillId="0" borderId="0" xfId="53" applyFont="1" applyAlignment="1">
      <alignment horizontal="left" vertical="center"/>
    </xf>
    <xf numFmtId="0" fontId="58" fillId="0" borderId="0" xfId="53" applyFont="1" applyAlignment="1">
      <alignment vertical="center"/>
    </xf>
    <xf numFmtId="0" fontId="24" fillId="0" borderId="0" xfId="55" applyFont="1" applyAlignment="1">
      <alignment vertical="center" wrapText="1"/>
    </xf>
    <xf numFmtId="0" fontId="24" fillId="0" borderId="0" xfId="55" applyFont="1" applyAlignment="1">
      <alignment horizontal="center" vertical="center" shrinkToFit="1"/>
    </xf>
    <xf numFmtId="41" fontId="79" fillId="0" borderId="0" xfId="32" applyFont="1" applyFill="1" applyBorder="1" applyAlignment="1">
      <alignment horizontal="right" vertical="center"/>
    </xf>
    <xf numFmtId="197" fontId="58" fillId="0" borderId="0" xfId="32" applyNumberFormat="1" applyFont="1" applyFill="1" applyBorder="1" applyAlignment="1">
      <alignment horizontal="right" vertical="center"/>
    </xf>
    <xf numFmtId="197" fontId="80" fillId="0" borderId="0" xfId="32" applyNumberFormat="1" applyFont="1" applyFill="1" applyBorder="1" applyAlignment="1">
      <alignment horizontal="right" vertical="center"/>
    </xf>
    <xf numFmtId="0" fontId="58" fillId="0" borderId="0" xfId="61" applyFont="1" applyAlignment="1">
      <alignment vertical="center"/>
    </xf>
    <xf numFmtId="0" fontId="58" fillId="0" borderId="0" xfId="70" applyFont="1" applyAlignment="1">
      <alignment horizontal="left" vertical="center" shrinkToFit="1"/>
    </xf>
    <xf numFmtId="0" fontId="59" fillId="0" borderId="0" xfId="61" applyFont="1" applyAlignment="1">
      <alignment vertical="center"/>
    </xf>
    <xf numFmtId="198" fontId="59" fillId="0" borderId="0" xfId="61" applyNumberFormat="1" applyFont="1" applyAlignment="1">
      <alignment horizontal="right" vertical="center"/>
    </xf>
    <xf numFmtId="0" fontId="58" fillId="0" borderId="0" xfId="53" quotePrefix="1" applyFont="1" applyAlignment="1">
      <alignment horizontal="distributed" vertical="center"/>
    </xf>
    <xf numFmtId="0" fontId="60" fillId="0" borderId="0" xfId="49" applyFont="1" applyAlignment="1">
      <alignment horizontal="justify" vertical="center"/>
    </xf>
    <xf numFmtId="0" fontId="61" fillId="0" borderId="0" xfId="53" applyFont="1">
      <alignment horizontal="center" vertical="center"/>
    </xf>
    <xf numFmtId="0" fontId="64" fillId="0" borderId="0" xfId="49" applyFont="1" applyAlignment="1">
      <alignment vertical="center"/>
    </xf>
    <xf numFmtId="0" fontId="14" fillId="0" borderId="0" xfId="49" applyFont="1" applyAlignment="1">
      <alignment horizontal="left" vertical="center"/>
    </xf>
    <xf numFmtId="0" fontId="14" fillId="0" borderId="0" xfId="49" applyFont="1" applyAlignment="1">
      <alignment horizontal="center" vertical="center"/>
    </xf>
    <xf numFmtId="0" fontId="14" fillId="0" borderId="0" xfId="49" applyFont="1" applyAlignment="1">
      <alignment horizontal="right" vertical="center"/>
    </xf>
    <xf numFmtId="41" fontId="14" fillId="0" borderId="4" xfId="31" applyFont="1" applyFill="1" applyBorder="1" applyAlignment="1">
      <alignment vertical="center"/>
    </xf>
    <xf numFmtId="41" fontId="14" fillId="0" borderId="4" xfId="31" applyFont="1" applyFill="1" applyBorder="1" applyAlignment="1">
      <alignment horizontal="left" vertical="center"/>
    </xf>
    <xf numFmtId="41" fontId="14" fillId="0" borderId="4" xfId="31" applyFont="1" applyFill="1" applyBorder="1" applyAlignment="1">
      <alignment vertical="center" shrinkToFit="1"/>
    </xf>
    <xf numFmtId="41" fontId="14" fillId="0" borderId="4" xfId="31" applyFont="1" applyFill="1" applyBorder="1" applyAlignment="1">
      <alignment vertical="center" wrapText="1" shrinkToFit="1"/>
    </xf>
    <xf numFmtId="41" fontId="64" fillId="0" borderId="4" xfId="31" applyFont="1" applyFill="1" applyBorder="1" applyAlignment="1">
      <alignment vertical="center" shrinkToFit="1"/>
    </xf>
    <xf numFmtId="41" fontId="64" fillId="0" borderId="4" xfId="31" applyFont="1" applyFill="1" applyBorder="1" applyAlignment="1">
      <alignment vertical="center" wrapText="1" shrinkToFit="1"/>
    </xf>
    <xf numFmtId="0" fontId="66" fillId="0" borderId="0" xfId="49" applyFont="1" applyAlignment="1">
      <alignment vertical="center"/>
    </xf>
    <xf numFmtId="185" fontId="66" fillId="0" borderId="0" xfId="33" applyNumberFormat="1" applyFont="1" applyAlignment="1">
      <alignment vertical="center"/>
    </xf>
    <xf numFmtId="0" fontId="67" fillId="0" borderId="53" xfId="49" applyFont="1" applyBorder="1" applyAlignment="1">
      <alignment vertical="center"/>
    </xf>
    <xf numFmtId="0" fontId="66" fillId="0" borderId="54" xfId="49" applyFont="1" applyBorder="1" applyAlignment="1">
      <alignment vertical="center"/>
    </xf>
    <xf numFmtId="0" fontId="68" fillId="0" borderId="56" xfId="49" applyFont="1" applyBorder="1" applyAlignment="1">
      <alignment horizontal="left" vertical="center" indent="1"/>
    </xf>
    <xf numFmtId="0" fontId="68" fillId="0" borderId="65" xfId="49" applyFont="1" applyBorder="1" applyAlignment="1">
      <alignment horizontal="left" vertical="center" indent="1"/>
    </xf>
    <xf numFmtId="0" fontId="66" fillId="0" borderId="19" xfId="49" applyFont="1" applyBorder="1" applyAlignment="1">
      <alignment vertical="center"/>
    </xf>
    <xf numFmtId="0" fontId="66" fillId="0" borderId="56" xfId="49" applyFont="1" applyBorder="1" applyAlignment="1">
      <alignment vertical="center"/>
    </xf>
    <xf numFmtId="0" fontId="66" fillId="0" borderId="57" xfId="49" applyFont="1" applyBorder="1" applyAlignment="1">
      <alignment vertical="center"/>
    </xf>
    <xf numFmtId="0" fontId="2" fillId="0" borderId="57" xfId="49" applyBorder="1" applyAlignment="1">
      <alignment vertical="center"/>
    </xf>
    <xf numFmtId="185" fontId="2" fillId="0" borderId="0" xfId="49" applyNumberFormat="1" applyAlignment="1">
      <alignment vertical="center"/>
    </xf>
    <xf numFmtId="185" fontId="0" fillId="0" borderId="0" xfId="33" applyNumberFormat="1" applyFont="1" applyAlignment="1">
      <alignment vertical="center"/>
    </xf>
    <xf numFmtId="0" fontId="70" fillId="0" borderId="0" xfId="49" applyFont="1" applyAlignment="1">
      <alignment vertical="center"/>
    </xf>
    <xf numFmtId="0" fontId="70" fillId="0" borderId="0" xfId="49" applyFont="1" applyAlignment="1">
      <alignment horizontal="center" vertical="center"/>
    </xf>
    <xf numFmtId="0" fontId="71" fillId="0" borderId="0" xfId="49" applyFont="1" applyAlignment="1">
      <alignment vertical="center"/>
    </xf>
    <xf numFmtId="0" fontId="81" fillId="0" borderId="0" xfId="49" quotePrefix="1" applyFont="1" applyAlignment="1">
      <alignment horizontal="left" vertical="center"/>
    </xf>
    <xf numFmtId="0" fontId="81" fillId="0" borderId="0" xfId="49" applyFont="1" applyAlignment="1">
      <alignment vertical="center"/>
    </xf>
    <xf numFmtId="0" fontId="2" fillId="0" borderId="0" xfId="49" applyAlignment="1">
      <alignment horizontal="left" vertical="center" indent="1"/>
    </xf>
    <xf numFmtId="200" fontId="2" fillId="0" borderId="0" xfId="49" applyNumberFormat="1" applyAlignment="1">
      <alignment horizontal="center" vertical="center"/>
    </xf>
    <xf numFmtId="0" fontId="2" fillId="0" borderId="0" xfId="49" applyAlignment="1">
      <alignment horizontal="center" vertical="center"/>
    </xf>
    <xf numFmtId="0" fontId="70" fillId="0" borderId="56" xfId="49" applyFont="1" applyBorder="1" applyAlignment="1">
      <alignment vertical="center"/>
    </xf>
    <xf numFmtId="0" fontId="82" fillId="0" borderId="0" xfId="49" applyFont="1" applyAlignment="1">
      <alignment vertical="center"/>
    </xf>
    <xf numFmtId="0" fontId="70" fillId="0" borderId="57" xfId="49" applyFont="1" applyBorder="1" applyAlignment="1">
      <alignment vertical="center"/>
    </xf>
    <xf numFmtId="41" fontId="71" fillId="4" borderId="4" xfId="33" applyFont="1" applyFill="1" applyBorder="1" applyAlignment="1">
      <alignment vertical="center"/>
    </xf>
    <xf numFmtId="41" fontId="0" fillId="4" borderId="4" xfId="33" applyFont="1" applyFill="1" applyBorder="1" applyAlignment="1">
      <alignment vertical="center"/>
    </xf>
    <xf numFmtId="0" fontId="2" fillId="0" borderId="58" xfId="49" applyBorder="1" applyAlignment="1">
      <alignment vertical="center"/>
    </xf>
    <xf numFmtId="0" fontId="2" fillId="0" borderId="5" xfId="49" applyBorder="1" applyAlignment="1">
      <alignment vertical="center"/>
    </xf>
    <xf numFmtId="0" fontId="2" fillId="0" borderId="5" xfId="49" applyBorder="1" applyAlignment="1">
      <alignment horizontal="left" vertical="center" indent="1"/>
    </xf>
    <xf numFmtId="0" fontId="81" fillId="0" borderId="5" xfId="49" quotePrefix="1" applyFont="1" applyBorder="1" applyAlignment="1">
      <alignment horizontal="left" vertical="center"/>
    </xf>
    <xf numFmtId="0" fontId="81" fillId="0" borderId="5" xfId="49" applyFont="1" applyBorder="1" applyAlignment="1">
      <alignment vertical="center"/>
    </xf>
    <xf numFmtId="0" fontId="2" fillId="0" borderId="5" xfId="49" applyBorder="1" applyAlignment="1">
      <alignment horizontal="center" vertical="center"/>
    </xf>
    <xf numFmtId="0" fontId="2" fillId="0" borderId="59" xfId="49" applyBorder="1" applyAlignment="1">
      <alignment vertical="center"/>
    </xf>
    <xf numFmtId="0" fontId="0" fillId="0" borderId="4" xfId="0" applyBorder="1" applyAlignment="1">
      <alignment vertical="center"/>
    </xf>
    <xf numFmtId="41" fontId="64" fillId="0" borderId="9" xfId="31" applyFont="1" applyFill="1" applyBorder="1" applyAlignment="1">
      <alignment vertical="center" wrapText="1" shrinkToFit="1"/>
    </xf>
    <xf numFmtId="0" fontId="33" fillId="0" borderId="0" xfId="82" applyNumberFormat="1" applyFont="1" applyFill="1" applyAlignment="1">
      <alignment horizontal="center" vertical="center"/>
    </xf>
    <xf numFmtId="41" fontId="33" fillId="0" borderId="0" xfId="82" applyFont="1" applyFill="1" applyAlignment="1">
      <alignment horizontal="center" vertical="center"/>
    </xf>
    <xf numFmtId="41" fontId="35" fillId="0" borderId="0" xfId="82" applyFont="1" applyFill="1" applyBorder="1" applyAlignment="1">
      <alignment horizontal="centerContinuous" vertical="center"/>
    </xf>
    <xf numFmtId="41" fontId="35" fillId="0" borderId="0" xfId="82" applyFont="1" applyFill="1" applyAlignment="1">
      <alignment horizontal="center" vertical="center"/>
    </xf>
    <xf numFmtId="0" fontId="33" fillId="0" borderId="0" xfId="0" quotePrefix="1" applyFont="1" applyAlignment="1">
      <alignment horizontal="centerContinuous" vertical="center"/>
    </xf>
    <xf numFmtId="41" fontId="33" fillId="0" borderId="0" xfId="82" applyFont="1" applyFill="1" applyBorder="1" applyAlignment="1">
      <alignment horizontal="centerContinuous" vertical="center"/>
    </xf>
    <xf numFmtId="41" fontId="33" fillId="0" borderId="0" xfId="82" applyFont="1" applyFill="1" applyAlignment="1">
      <alignment horizontal="left" vertical="center"/>
    </xf>
    <xf numFmtId="0" fontId="33" fillId="0" borderId="14" xfId="79" applyFont="1" applyBorder="1" applyAlignment="1">
      <alignment horizontal="center" vertical="center"/>
    </xf>
    <xf numFmtId="0" fontId="33" fillId="0" borderId="15" xfId="79" applyFont="1" applyBorder="1" applyAlignment="1">
      <alignment horizontal="center" vertical="center"/>
    </xf>
    <xf numFmtId="0" fontId="33" fillId="0" borderId="15" xfId="79" applyFont="1" applyBorder="1" applyAlignment="1">
      <alignment horizontal="right" vertical="center"/>
    </xf>
    <xf numFmtId="0" fontId="33" fillId="0" borderId="12" xfId="79" applyFont="1" applyBorder="1" applyAlignment="1">
      <alignment horizontal="right" vertical="center"/>
    </xf>
    <xf numFmtId="0" fontId="33" fillId="0" borderId="18" xfId="79" applyFont="1" applyBorder="1" applyAlignment="1">
      <alignment horizontal="left" vertical="center"/>
    </xf>
    <xf numFmtId="0" fontId="33" fillId="0" borderId="19" xfId="79" applyFont="1" applyBorder="1" applyAlignment="1">
      <alignment horizontal="left" vertical="center"/>
    </xf>
    <xf numFmtId="0" fontId="33" fillId="0" borderId="19" xfId="79" applyFont="1" applyBorder="1" applyAlignment="1">
      <alignment horizontal="center" vertical="center"/>
    </xf>
    <xf numFmtId="0" fontId="33" fillId="0" borderId="19" xfId="79" applyFont="1" applyBorder="1" applyAlignment="1">
      <alignment horizontal="right" vertical="center"/>
    </xf>
    <xf numFmtId="0" fontId="33" fillId="0" borderId="21" xfId="79" applyFont="1" applyBorder="1" applyAlignment="1">
      <alignment horizontal="right" vertical="center"/>
    </xf>
    <xf numFmtId="41" fontId="33" fillId="0" borderId="0" xfId="82" applyFont="1" applyFill="1" applyBorder="1" applyAlignment="1">
      <alignment horizontal="center" vertical="center"/>
    </xf>
    <xf numFmtId="176" fontId="33" fillId="6" borderId="16" xfId="82" applyNumberFormat="1" applyFont="1" applyFill="1" applyBorder="1" applyAlignment="1">
      <alignment horizontal="center" vertical="center" shrinkToFit="1"/>
    </xf>
    <xf numFmtId="176" fontId="33" fillId="6" borderId="9" xfId="82" applyNumberFormat="1" applyFont="1" applyFill="1" applyBorder="1" applyAlignment="1">
      <alignment horizontal="center" vertical="center" shrinkToFit="1"/>
    </xf>
    <xf numFmtId="176" fontId="33" fillId="6" borderId="4" xfId="82" applyNumberFormat="1" applyFont="1" applyFill="1" applyBorder="1" applyAlignment="1">
      <alignment horizontal="center" vertical="center" shrinkToFit="1"/>
    </xf>
    <xf numFmtId="176" fontId="33" fillId="6" borderId="13" xfId="82" applyNumberFormat="1" applyFont="1" applyFill="1" applyBorder="1" applyAlignment="1">
      <alignment horizontal="center" vertical="center" shrinkToFit="1"/>
    </xf>
    <xf numFmtId="41" fontId="33" fillId="6" borderId="4" xfId="82" applyFont="1" applyFill="1" applyBorder="1" applyAlignment="1">
      <alignment horizontal="left" vertical="center"/>
    </xf>
    <xf numFmtId="41" fontId="33" fillId="6" borderId="4" xfId="82" applyFont="1" applyFill="1" applyBorder="1" applyAlignment="1">
      <alignment horizontal="left" vertical="center" wrapText="1"/>
    </xf>
    <xf numFmtId="41" fontId="33" fillId="6" borderId="4" xfId="82" applyFont="1" applyFill="1" applyBorder="1" applyAlignment="1">
      <alignment horizontal="left" vertical="center" shrinkToFit="1"/>
    </xf>
    <xf numFmtId="0" fontId="33" fillId="6" borderId="15" xfId="0" applyFont="1" applyFill="1" applyBorder="1" applyAlignment="1">
      <alignment horizontal="center" vertical="center"/>
    </xf>
    <xf numFmtId="0" fontId="33" fillId="6" borderId="15" xfId="0" applyFont="1" applyFill="1" applyBorder="1" applyAlignment="1">
      <alignment horizontal="distributed" vertical="center"/>
    </xf>
    <xf numFmtId="41" fontId="33" fillId="6" borderId="9" xfId="82" applyFont="1" applyFill="1" applyBorder="1" applyAlignment="1">
      <alignment horizontal="left" vertical="center" shrinkToFit="1"/>
    </xf>
    <xf numFmtId="0" fontId="37" fillId="0" borderId="0" xfId="0" applyFont="1" applyAlignment="1">
      <alignment horizontal="center" vertical="center"/>
    </xf>
    <xf numFmtId="41" fontId="37" fillId="0" borderId="0" xfId="82" applyFont="1" applyFill="1" applyAlignment="1">
      <alignment horizontal="center" vertical="center"/>
    </xf>
    <xf numFmtId="41" fontId="37" fillId="0" borderId="0" xfId="82" applyFont="1" applyFill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3" fillId="0" borderId="15" xfId="0" applyFont="1" applyBorder="1" applyAlignment="1">
      <alignment horizontal="left" vertical="center"/>
    </xf>
    <xf numFmtId="0" fontId="33" fillId="0" borderId="4" xfId="79" applyFont="1" applyBorder="1" applyAlignment="1">
      <alignment horizontal="center" vertical="center"/>
    </xf>
    <xf numFmtId="183" fontId="33" fillId="0" borderId="4" xfId="31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6" fontId="14" fillId="0" borderId="16" xfId="29" applyNumberFormat="1" applyFont="1" applyFill="1" applyBorder="1" applyAlignment="1">
      <alignment horizontal="center" vertical="center" shrinkToFit="1"/>
    </xf>
    <xf numFmtId="41" fontId="83" fillId="0" borderId="72" xfId="29" applyFont="1" applyBorder="1" applyAlignment="1">
      <alignment horizontal="center" vertical="center" wrapText="1"/>
    </xf>
    <xf numFmtId="41" fontId="83" fillId="0" borderId="68" xfId="29" applyFont="1" applyBorder="1" applyAlignment="1">
      <alignment horizontal="center" vertical="center" wrapText="1"/>
    </xf>
    <xf numFmtId="41" fontId="83" fillId="0" borderId="67" xfId="29" applyFont="1" applyBorder="1" applyAlignment="1">
      <alignment horizontal="center" vertical="center" wrapText="1"/>
    </xf>
    <xf numFmtId="41" fontId="83" fillId="0" borderId="71" xfId="29" applyFont="1" applyBorder="1" applyAlignment="1">
      <alignment horizontal="center" vertical="center" wrapText="1"/>
    </xf>
    <xf numFmtId="0" fontId="36" fillId="0" borderId="40" xfId="63" applyFont="1" applyBorder="1" applyAlignment="1">
      <alignment horizontal="center" vertical="center"/>
    </xf>
    <xf numFmtId="177" fontId="36" fillId="0" borderId="41" xfId="63" applyNumberFormat="1" applyFont="1" applyBorder="1" applyAlignment="1">
      <alignment horizontal="right" vertical="center"/>
    </xf>
    <xf numFmtId="41" fontId="83" fillId="0" borderId="73" xfId="29" applyFont="1" applyBorder="1" applyAlignment="1">
      <alignment horizontal="center" vertical="center" wrapText="1"/>
    </xf>
    <xf numFmtId="41" fontId="83" fillId="0" borderId="74" xfId="29" applyFont="1" applyBorder="1" applyAlignment="1">
      <alignment horizontal="center" vertical="center" wrapText="1"/>
    </xf>
    <xf numFmtId="41" fontId="84" fillId="0" borderId="75" xfId="29" applyFont="1" applyBorder="1" applyAlignment="1">
      <alignment horizontal="center" vertical="center" wrapText="1"/>
    </xf>
    <xf numFmtId="41" fontId="84" fillId="0" borderId="76" xfId="29" applyFont="1" applyBorder="1" applyAlignment="1">
      <alignment horizontal="center" vertical="center" wrapText="1"/>
    </xf>
    <xf numFmtId="185" fontId="83" fillId="0" borderId="67" xfId="29" applyNumberFormat="1" applyFont="1" applyBorder="1" applyAlignment="1">
      <alignment horizontal="center" vertical="center" wrapText="1"/>
    </xf>
    <xf numFmtId="185" fontId="83" fillId="0" borderId="71" xfId="29" applyNumberFormat="1" applyFont="1" applyBorder="1" applyAlignment="1">
      <alignment horizontal="center" vertical="center" wrapText="1"/>
    </xf>
    <xf numFmtId="185" fontId="84" fillId="0" borderId="43" xfId="29" applyNumberFormat="1" applyFont="1" applyBorder="1" applyAlignment="1">
      <alignment horizontal="center" vertical="center" wrapText="1"/>
    </xf>
    <xf numFmtId="185" fontId="83" fillId="0" borderId="74" xfId="29" applyNumberFormat="1" applyFont="1" applyBorder="1" applyAlignment="1">
      <alignment horizontal="center" vertical="center" wrapText="1"/>
    </xf>
    <xf numFmtId="41" fontId="83" fillId="0" borderId="77" xfId="29" applyFont="1" applyBorder="1" applyAlignment="1">
      <alignment horizontal="center" vertical="center" wrapText="1"/>
    </xf>
    <xf numFmtId="41" fontId="83" fillId="0" borderId="78" xfId="29" applyFont="1" applyBorder="1" applyAlignment="1">
      <alignment horizontal="center" vertical="center" wrapText="1"/>
    </xf>
    <xf numFmtId="185" fontId="83" fillId="0" borderId="77" xfId="29" applyNumberFormat="1" applyFont="1" applyBorder="1" applyAlignment="1">
      <alignment horizontal="center" vertical="center" wrapText="1"/>
    </xf>
    <xf numFmtId="0" fontId="33" fillId="0" borderId="4" xfId="34" applyNumberFormat="1" applyFont="1" applyBorder="1" applyAlignment="1">
      <alignment vertical="center"/>
    </xf>
    <xf numFmtId="0" fontId="33" fillId="0" borderId="4" xfId="34" applyNumberFormat="1" applyFont="1" applyBorder="1" applyAlignment="1">
      <alignment horizontal="right" vertical="center"/>
    </xf>
    <xf numFmtId="185" fontId="33" fillId="0" borderId="4" xfId="29" applyNumberFormat="1" applyFont="1" applyBorder="1" applyAlignment="1">
      <alignment horizontal="center" vertical="center"/>
    </xf>
    <xf numFmtId="0" fontId="91" fillId="11" borderId="82" xfId="0" applyFont="1" applyFill="1" applyBorder="1" applyAlignment="1">
      <alignment horizontal="center" vertical="center" wrapText="1"/>
    </xf>
    <xf numFmtId="0" fontId="87" fillId="0" borderId="83" xfId="0" applyFont="1" applyBorder="1" applyAlignment="1">
      <alignment horizontal="center" vertical="center" wrapText="1"/>
    </xf>
    <xf numFmtId="0" fontId="91" fillId="0" borderId="83" xfId="0" applyFont="1" applyBorder="1" applyAlignment="1">
      <alignment horizontal="left" vertical="center" wrapText="1"/>
    </xf>
    <xf numFmtId="0" fontId="87" fillId="0" borderId="84" xfId="0" applyFont="1" applyBorder="1" applyAlignment="1">
      <alignment horizontal="center" vertical="center" wrapText="1"/>
    </xf>
    <xf numFmtId="0" fontId="93" fillId="0" borderId="84" xfId="0" applyFont="1" applyBorder="1" applyAlignment="1">
      <alignment horizontal="left" vertical="center" wrapText="1"/>
    </xf>
    <xf numFmtId="0" fontId="92" fillId="0" borderId="84" xfId="0" applyFont="1" applyBorder="1" applyAlignment="1">
      <alignment horizontal="left" vertical="center" wrapText="1"/>
    </xf>
    <xf numFmtId="0" fontId="91" fillId="0" borderId="84" xfId="0" applyFont="1" applyBorder="1" applyAlignment="1">
      <alignment horizontal="left" vertical="center" wrapText="1"/>
    </xf>
    <xf numFmtId="0" fontId="87" fillId="0" borderId="85" xfId="0" applyFont="1" applyBorder="1" applyAlignment="1">
      <alignment horizontal="center" vertical="center" wrapText="1"/>
    </xf>
    <xf numFmtId="0" fontId="92" fillId="0" borderId="85" xfId="0" applyFont="1" applyBorder="1" applyAlignment="1">
      <alignment horizontal="left" vertical="center" wrapText="1"/>
    </xf>
    <xf numFmtId="0" fontId="91" fillId="11" borderId="86" xfId="0" applyFont="1" applyFill="1" applyBorder="1" applyAlignment="1">
      <alignment horizontal="center" vertical="center" wrapText="1"/>
    </xf>
    <xf numFmtId="0" fontId="91" fillId="11" borderId="87" xfId="0" applyFont="1" applyFill="1" applyBorder="1" applyAlignment="1">
      <alignment horizontal="center" vertical="center" wrapText="1"/>
    </xf>
    <xf numFmtId="0" fontId="91" fillId="0" borderId="88" xfId="0" applyFont="1" applyBorder="1" applyAlignment="1">
      <alignment horizontal="left" vertical="center" wrapText="1"/>
    </xf>
    <xf numFmtId="0" fontId="92" fillId="0" borderId="89" xfId="0" applyFont="1" applyBorder="1" applyAlignment="1">
      <alignment horizontal="center" vertical="center" wrapText="1"/>
    </xf>
    <xf numFmtId="0" fontId="92" fillId="0" borderId="90" xfId="0" applyFont="1" applyBorder="1" applyAlignment="1">
      <alignment horizontal="left" vertical="center" wrapText="1"/>
    </xf>
    <xf numFmtId="0" fontId="87" fillId="0" borderId="91" xfId="0" applyFont="1" applyBorder="1" applyAlignment="1">
      <alignment horizontal="center" vertical="center" wrapText="1"/>
    </xf>
    <xf numFmtId="0" fontId="92" fillId="0" borderId="91" xfId="0" applyFont="1" applyBorder="1" applyAlignment="1">
      <alignment horizontal="center" vertical="center" wrapText="1"/>
    </xf>
    <xf numFmtId="0" fontId="91" fillId="0" borderId="90" xfId="0" applyFont="1" applyBorder="1" applyAlignment="1">
      <alignment horizontal="left" vertical="center" wrapText="1"/>
    </xf>
    <xf numFmtId="0" fontId="93" fillId="0" borderId="92" xfId="0" applyFont="1" applyBorder="1" applyAlignment="1">
      <alignment horizontal="left" vertical="center" wrapText="1"/>
    </xf>
    <xf numFmtId="0" fontId="87" fillId="0" borderId="93" xfId="0" applyFont="1" applyBorder="1" applyAlignment="1">
      <alignment horizontal="center" vertical="center" wrapText="1"/>
    </xf>
    <xf numFmtId="0" fontId="94" fillId="0" borderId="0" xfId="0" applyFont="1" applyAlignment="1">
      <alignment vertical="center"/>
    </xf>
    <xf numFmtId="0" fontId="85" fillId="12" borderId="73" xfId="0" applyFont="1" applyFill="1" applyBorder="1" applyAlignment="1">
      <alignment horizontal="center" vertical="center" wrapText="1"/>
    </xf>
    <xf numFmtId="0" fontId="85" fillId="12" borderId="72" xfId="0" applyFont="1" applyFill="1" applyBorder="1" applyAlignment="1">
      <alignment horizontal="center" vertical="center" wrapText="1"/>
    </xf>
    <xf numFmtId="0" fontId="85" fillId="12" borderId="68" xfId="0" applyFont="1" applyFill="1" applyBorder="1" applyAlignment="1">
      <alignment horizontal="center" vertical="center" wrapText="1"/>
    </xf>
    <xf numFmtId="0" fontId="86" fillId="0" borderId="73" xfId="0" applyFont="1" applyBorder="1" applyAlignment="1">
      <alignment horizontal="center" vertical="center" wrapText="1"/>
    </xf>
    <xf numFmtId="0" fontId="86" fillId="0" borderId="69" xfId="0" applyFont="1" applyBorder="1" applyAlignment="1">
      <alignment horizontal="center" vertical="center" wrapText="1"/>
    </xf>
    <xf numFmtId="0" fontId="86" fillId="0" borderId="70" xfId="0" applyFont="1" applyBorder="1" applyAlignment="1">
      <alignment horizontal="center"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0" fontId="86" fillId="0" borderId="68" xfId="0" applyFont="1" applyBorder="1" applyAlignment="1">
      <alignment horizontal="center" vertical="center" wrapText="1"/>
    </xf>
    <xf numFmtId="10" fontId="86" fillId="0" borderId="72" xfId="27" applyNumberFormat="1" applyFont="1" applyBorder="1" applyAlignment="1">
      <alignment horizontal="center" vertical="center" wrapText="1"/>
    </xf>
    <xf numFmtId="10" fontId="33" fillId="0" borderId="0" xfId="0" applyNumberFormat="1" applyFont="1" applyAlignment="1">
      <alignment horizontal="center" vertical="center"/>
    </xf>
    <xf numFmtId="0" fontId="33" fillId="2" borderId="0" xfId="27" applyNumberFormat="1" applyFont="1" applyFill="1" applyAlignment="1">
      <alignment horizontal="center" vertical="center"/>
    </xf>
    <xf numFmtId="0" fontId="28" fillId="0" borderId="0" xfId="84" applyFont="1" applyAlignment="1">
      <alignment horizontal="left" vertical="center"/>
    </xf>
    <xf numFmtId="0" fontId="97" fillId="0" borderId="0" xfId="0" applyFont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7" fillId="0" borderId="0" xfId="0" applyFont="1" applyAlignment="1">
      <alignment horizontal="right" vertical="center"/>
    </xf>
    <xf numFmtId="0" fontId="98" fillId="0" borderId="0" xfId="0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28" fillId="0" borderId="0" xfId="84" applyFont="1" applyAlignment="1">
      <alignment horizontal="center" vertical="center"/>
    </xf>
    <xf numFmtId="41" fontId="101" fillId="0" borderId="0" xfId="0" applyNumberFormat="1" applyFont="1" applyAlignment="1">
      <alignment horizontal="left" vertical="center"/>
    </xf>
    <xf numFmtId="0" fontId="101" fillId="0" borderId="0" xfId="0" applyFont="1" applyAlignment="1">
      <alignment horizontal="center" vertical="center"/>
    </xf>
    <xf numFmtId="0" fontId="101" fillId="0" borderId="0" xfId="0" applyFont="1" applyAlignment="1">
      <alignment horizontal="left" vertical="center"/>
    </xf>
    <xf numFmtId="0" fontId="101" fillId="0" borderId="0" xfId="0" applyFont="1" applyAlignment="1">
      <alignment horizontal="right" vertical="center"/>
    </xf>
    <xf numFmtId="41" fontId="97" fillId="0" borderId="0" xfId="0" applyNumberFormat="1" applyFont="1" applyAlignment="1">
      <alignment horizontal="center" vertical="center"/>
    </xf>
    <xf numFmtId="0" fontId="101" fillId="10" borderId="4" xfId="0" applyFont="1" applyFill="1" applyBorder="1" applyAlignment="1">
      <alignment horizontal="center" vertical="center" wrapText="1"/>
    </xf>
    <xf numFmtId="41" fontId="103" fillId="0" borderId="4" xfId="29" applyFont="1" applyFill="1" applyBorder="1" applyAlignment="1">
      <alignment vertical="center"/>
    </xf>
    <xf numFmtId="41" fontId="103" fillId="0" borderId="16" xfId="29" applyFont="1" applyFill="1" applyBorder="1" applyAlignment="1">
      <alignment vertical="center"/>
    </xf>
    <xf numFmtId="41" fontId="103" fillId="0" borderId="3" xfId="29" applyFont="1" applyFill="1" applyBorder="1" applyAlignment="1">
      <alignment vertical="center"/>
    </xf>
    <xf numFmtId="0" fontId="103" fillId="0" borderId="3" xfId="29" applyNumberFormat="1" applyFont="1" applyFill="1" applyBorder="1" applyAlignment="1">
      <alignment horizontal="left" vertical="center"/>
    </xf>
    <xf numFmtId="41" fontId="103" fillId="0" borderId="3" xfId="29" applyFont="1" applyFill="1" applyBorder="1" applyAlignment="1">
      <alignment horizontal="right" vertical="center"/>
    </xf>
    <xf numFmtId="41" fontId="103" fillId="0" borderId="17" xfId="29" applyFont="1" applyFill="1" applyBorder="1" applyAlignment="1">
      <alignment vertical="center"/>
    </xf>
    <xf numFmtId="41" fontId="103" fillId="0" borderId="3" xfId="29" applyFont="1" applyFill="1" applyBorder="1" applyAlignment="1">
      <alignment horizontal="left" vertical="center"/>
    </xf>
    <xf numFmtId="0" fontId="105" fillId="0" borderId="0" xfId="0" applyFont="1" applyAlignment="1">
      <alignment horizontal="left"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horizontal="left" vertical="center"/>
    </xf>
    <xf numFmtId="41" fontId="104" fillId="0" borderId="3" xfId="29" applyFont="1" applyFill="1" applyBorder="1" applyAlignment="1">
      <alignment vertical="center"/>
    </xf>
    <xf numFmtId="185" fontId="103" fillId="0" borderId="3" xfId="29" applyNumberFormat="1" applyFont="1" applyFill="1" applyBorder="1" applyAlignment="1">
      <alignment horizontal="right" vertical="center"/>
    </xf>
    <xf numFmtId="0" fontId="98" fillId="0" borderId="0" xfId="0" applyFont="1" applyAlignment="1">
      <alignment horizontal="left" vertical="center"/>
    </xf>
    <xf numFmtId="41" fontId="104" fillId="0" borderId="3" xfId="29" applyFont="1" applyFill="1" applyBorder="1" applyAlignment="1">
      <alignment horizontal="center" vertical="center"/>
    </xf>
    <xf numFmtId="2" fontId="105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183" fontId="103" fillId="0" borderId="3" xfId="29" applyNumberFormat="1" applyFont="1" applyFill="1" applyBorder="1" applyAlignment="1">
      <alignment horizontal="right" vertical="center"/>
    </xf>
    <xf numFmtId="183" fontId="98" fillId="0" borderId="3" xfId="29" applyNumberFormat="1" applyFont="1" applyFill="1" applyBorder="1" applyAlignment="1">
      <alignment horizontal="right" vertical="center"/>
    </xf>
    <xf numFmtId="183" fontId="101" fillId="0" borderId="3" xfId="29" applyNumberFormat="1" applyFont="1" applyFill="1" applyBorder="1" applyAlignment="1">
      <alignment horizontal="right" vertical="center"/>
    </xf>
    <xf numFmtId="186" fontId="103" fillId="0" borderId="3" xfId="29" applyNumberFormat="1" applyFont="1" applyFill="1" applyBorder="1" applyAlignment="1">
      <alignment horizontal="right" vertical="center"/>
    </xf>
    <xf numFmtId="186" fontId="98" fillId="0" borderId="3" xfId="29" applyNumberFormat="1" applyFont="1" applyFill="1" applyBorder="1" applyAlignment="1">
      <alignment horizontal="right" vertical="center"/>
    </xf>
    <xf numFmtId="186" fontId="101" fillId="0" borderId="3" xfId="29" applyNumberFormat="1" applyFont="1" applyFill="1" applyBorder="1" applyAlignment="1">
      <alignment horizontal="right" vertical="center"/>
    </xf>
    <xf numFmtId="0" fontId="105" fillId="5" borderId="0" xfId="0" applyFont="1" applyFill="1" applyAlignment="1">
      <alignment horizontal="left" vertical="center"/>
    </xf>
    <xf numFmtId="41" fontId="105" fillId="0" borderId="0" xfId="0" applyNumberFormat="1" applyFont="1" applyAlignment="1">
      <alignment horizontal="center" vertical="center"/>
    </xf>
    <xf numFmtId="41" fontId="99" fillId="0" borderId="0" xfId="0" applyNumberFormat="1" applyFont="1" applyAlignment="1">
      <alignment horizontal="center" vertical="center"/>
    </xf>
    <xf numFmtId="41" fontId="101" fillId="0" borderId="0" xfId="29" applyFont="1" applyFill="1" applyBorder="1" applyAlignment="1">
      <alignment vertical="center"/>
    </xf>
    <xf numFmtId="0" fontId="101" fillId="0" borderId="0" xfId="29" applyNumberFormat="1" applyFont="1" applyFill="1" applyBorder="1" applyAlignment="1">
      <alignment horizontal="left" vertical="center"/>
    </xf>
    <xf numFmtId="41" fontId="101" fillId="0" borderId="0" xfId="29" applyFont="1" applyFill="1" applyBorder="1" applyAlignment="1">
      <alignment horizontal="right" vertical="center"/>
    </xf>
    <xf numFmtId="41" fontId="101" fillId="0" borderId="4" xfId="29" applyFont="1" applyFill="1" applyBorder="1" applyAlignment="1">
      <alignment vertical="center"/>
    </xf>
    <xf numFmtId="41" fontId="101" fillId="0" borderId="16" xfId="29" applyFont="1" applyFill="1" applyBorder="1" applyAlignment="1">
      <alignment vertical="center"/>
    </xf>
    <xf numFmtId="41" fontId="101" fillId="0" borderId="3" xfId="29" applyFont="1" applyFill="1" applyBorder="1" applyAlignment="1">
      <alignment vertical="center"/>
    </xf>
    <xf numFmtId="0" fontId="101" fillId="0" borderId="3" xfId="29" applyNumberFormat="1" applyFont="1" applyFill="1" applyBorder="1" applyAlignment="1">
      <alignment horizontal="left" vertical="center"/>
    </xf>
    <xf numFmtId="41" fontId="101" fillId="0" borderId="3" xfId="29" applyFont="1" applyFill="1" applyBorder="1" applyAlignment="1">
      <alignment horizontal="right" vertical="center"/>
    </xf>
    <xf numFmtId="41" fontId="101" fillId="0" borderId="17" xfId="29" applyFont="1" applyFill="1" applyBorder="1" applyAlignment="1">
      <alignment vertical="center"/>
    </xf>
    <xf numFmtId="0" fontId="109" fillId="5" borderId="101" xfId="0" applyFont="1" applyFill="1" applyBorder="1" applyAlignment="1">
      <alignment horizontal="center" vertical="center"/>
    </xf>
    <xf numFmtId="0" fontId="110" fillId="0" borderId="0" xfId="0" applyFont="1" applyAlignment="1">
      <alignment horizontal="center" vertical="center"/>
    </xf>
    <xf numFmtId="41" fontId="101" fillId="0" borderId="3" xfId="29" applyFont="1" applyFill="1" applyBorder="1" applyAlignment="1">
      <alignment horizontal="left" vertical="center"/>
    </xf>
    <xf numFmtId="41" fontId="111" fillId="0" borderId="3" xfId="29" applyFont="1" applyFill="1" applyBorder="1" applyAlignment="1">
      <alignment vertical="center"/>
    </xf>
    <xf numFmtId="185" fontId="101" fillId="0" borderId="3" xfId="29" applyNumberFormat="1" applyFont="1" applyFill="1" applyBorder="1" applyAlignment="1">
      <alignment horizontal="right" vertical="center"/>
    </xf>
    <xf numFmtId="41" fontId="111" fillId="0" borderId="3" xfId="29" applyFont="1" applyFill="1" applyBorder="1" applyAlignment="1">
      <alignment horizontal="center" vertical="center"/>
    </xf>
    <xf numFmtId="41" fontId="98" fillId="0" borderId="0" xfId="0" applyNumberFormat="1" applyFont="1" applyAlignment="1">
      <alignment horizontal="center" vertical="center"/>
    </xf>
    <xf numFmtId="0" fontId="98" fillId="0" borderId="0" xfId="0" quotePrefix="1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41" fontId="113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41" fontId="101" fillId="0" borderId="0" xfId="29" applyFont="1" applyFill="1" applyBorder="1" applyAlignment="1">
      <alignment horizontal="center" vertical="center"/>
    </xf>
    <xf numFmtId="41" fontId="101" fillId="0" borderId="0" xfId="29" applyFont="1" applyFill="1" applyBorder="1" applyAlignment="1">
      <alignment horizontal="left" vertical="center"/>
    </xf>
    <xf numFmtId="41" fontId="101" fillId="0" borderId="17" xfId="29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41" fontId="33" fillId="0" borderId="3" xfId="29" applyFont="1" applyFill="1" applyBorder="1" applyAlignment="1">
      <alignment horizontal="center" vertical="center"/>
    </xf>
    <xf numFmtId="184" fontId="33" fillId="2" borderId="4" xfId="29" applyNumberFormat="1" applyFont="1" applyFill="1" applyBorder="1" applyAlignment="1">
      <alignment horizontal="center" vertical="center"/>
    </xf>
    <xf numFmtId="41" fontId="33" fillId="2" borderId="3" xfId="29" applyFont="1" applyFill="1" applyBorder="1" applyAlignment="1">
      <alignment vertical="center"/>
    </xf>
    <xf numFmtId="41" fontId="33" fillId="0" borderId="4" xfId="29" applyFont="1" applyBorder="1" applyAlignment="1">
      <alignment horizontal="left" vertical="center"/>
    </xf>
    <xf numFmtId="41" fontId="37" fillId="0" borderId="0" xfId="29" applyFont="1" applyAlignment="1">
      <alignment vertical="center"/>
    </xf>
    <xf numFmtId="49" fontId="117" fillId="2" borderId="0" xfId="0" applyNumberFormat="1" applyFont="1" applyFill="1" applyAlignment="1">
      <alignment horizontal="center" vertical="center"/>
    </xf>
    <xf numFmtId="0" fontId="117" fillId="2" borderId="0" xfId="0" applyFont="1" applyFill="1" applyAlignment="1">
      <alignment horizontal="centerContinuous" vertical="center"/>
    </xf>
    <xf numFmtId="0" fontId="117" fillId="2" borderId="0" xfId="0" applyFont="1" applyFill="1" applyAlignment="1">
      <alignment vertical="center"/>
    </xf>
    <xf numFmtId="0" fontId="117" fillId="2" borderId="0" xfId="0" applyFont="1" applyFill="1" applyAlignment="1">
      <alignment horizontal="center" vertical="center"/>
    </xf>
    <xf numFmtId="41" fontId="33" fillId="0" borderId="0" xfId="29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41" fontId="35" fillId="2" borderId="0" xfId="29" applyFont="1" applyFill="1" applyAlignment="1">
      <alignment vertical="center"/>
    </xf>
    <xf numFmtId="0" fontId="117" fillId="2" borderId="0" xfId="0" applyFont="1" applyFill="1" applyAlignment="1">
      <alignment horizontal="left" vertical="center"/>
    </xf>
    <xf numFmtId="41" fontId="14" fillId="0" borderId="0" xfId="31" applyFont="1" applyFill="1" applyBorder="1" applyAlignment="1">
      <alignment vertical="center"/>
    </xf>
    <xf numFmtId="41" fontId="14" fillId="0" borderId="0" xfId="31" applyFont="1" applyFill="1" applyBorder="1" applyAlignment="1">
      <alignment vertical="center" shrinkToFit="1"/>
    </xf>
    <xf numFmtId="41" fontId="64" fillId="0" borderId="0" xfId="31" applyFont="1" applyFill="1" applyBorder="1" applyAlignment="1">
      <alignment vertical="center"/>
    </xf>
    <xf numFmtId="41" fontId="64" fillId="0" borderId="0" xfId="31" applyFont="1" applyFill="1" applyBorder="1" applyAlignment="1">
      <alignment vertical="center" shrinkToFit="1"/>
    </xf>
    <xf numFmtId="0" fontId="123" fillId="0" borderId="0" xfId="85" applyFont="1">
      <alignment vertical="center"/>
    </xf>
    <xf numFmtId="0" fontId="124" fillId="0" borderId="0" xfId="86" applyFont="1" applyAlignment="1">
      <alignment horizontal="centerContinuous" vertical="center"/>
    </xf>
    <xf numFmtId="0" fontId="125" fillId="0" borderId="0" xfId="87" applyFont="1" applyAlignment="1">
      <alignment vertical="center"/>
    </xf>
    <xf numFmtId="0" fontId="124" fillId="2" borderId="0" xfId="86" applyFont="1" applyFill="1" applyAlignment="1">
      <alignment horizontal="center" vertical="center"/>
    </xf>
    <xf numFmtId="0" fontId="126" fillId="13" borderId="103" xfId="85" applyFont="1" applyFill="1" applyBorder="1" applyAlignment="1">
      <alignment horizontal="center" vertical="center"/>
    </xf>
    <xf numFmtId="41" fontId="126" fillId="13" borderId="104" xfId="88" applyFont="1" applyFill="1" applyBorder="1" applyAlignment="1">
      <alignment horizontal="center" vertical="center"/>
    </xf>
    <xf numFmtId="0" fontId="126" fillId="13" borderId="105" xfId="85" applyFont="1" applyFill="1" applyBorder="1" applyAlignment="1">
      <alignment horizontal="center" vertical="center"/>
    </xf>
    <xf numFmtId="41" fontId="126" fillId="0" borderId="107" xfId="89" applyFont="1" applyBorder="1" applyAlignment="1">
      <alignment horizontal="center" vertical="center"/>
    </xf>
    <xf numFmtId="41" fontId="119" fillId="0" borderId="108" xfId="89" applyFont="1" applyBorder="1" applyAlignment="1">
      <alignment horizontal="center" vertical="center"/>
    </xf>
    <xf numFmtId="41" fontId="126" fillId="0" borderId="109" xfId="89" applyFont="1" applyBorder="1" applyAlignment="1">
      <alignment horizontal="center" vertical="center"/>
    </xf>
    <xf numFmtId="0" fontId="128" fillId="2" borderId="0" xfId="86" applyFont="1" applyFill="1" applyAlignment="1">
      <alignment horizontal="center" vertical="center"/>
    </xf>
    <xf numFmtId="0" fontId="126" fillId="13" borderId="110" xfId="85" applyFont="1" applyFill="1" applyBorder="1" applyAlignment="1">
      <alignment horizontal="center" vertical="center"/>
    </xf>
    <xf numFmtId="41" fontId="126" fillId="13" borderId="103" xfId="88" applyFont="1" applyFill="1" applyBorder="1" applyAlignment="1">
      <alignment horizontal="center" vertical="center"/>
    </xf>
    <xf numFmtId="0" fontId="126" fillId="13" borderId="49" xfId="85" applyFont="1" applyFill="1" applyBorder="1" applyAlignment="1">
      <alignment horizontal="center" vertical="center"/>
    </xf>
    <xf numFmtId="49" fontId="128" fillId="2" borderId="0" xfId="86" applyNumberFormat="1" applyFont="1" applyFill="1" applyAlignment="1">
      <alignment horizontal="center" vertical="center"/>
    </xf>
    <xf numFmtId="0" fontId="119" fillId="0" borderId="111" xfId="85" applyFont="1" applyBorder="1" applyAlignment="1">
      <alignment horizontal="center" vertical="center"/>
    </xf>
    <xf numFmtId="41" fontId="116" fillId="0" borderId="112" xfId="89" applyFont="1" applyBorder="1">
      <alignment vertical="center"/>
    </xf>
    <xf numFmtId="0" fontId="119" fillId="0" borderId="113" xfId="88" applyNumberFormat="1" applyFont="1" applyBorder="1" applyAlignment="1">
      <alignment horizontal="center" vertical="center"/>
    </xf>
    <xf numFmtId="41" fontId="119" fillId="0" borderId="114" xfId="89" applyFont="1" applyBorder="1">
      <alignment vertical="center"/>
    </xf>
    <xf numFmtId="0" fontId="119" fillId="0" borderId="115" xfId="85" applyFont="1" applyBorder="1" applyAlignment="1">
      <alignment horizontal="center" vertical="center"/>
    </xf>
    <xf numFmtId="0" fontId="119" fillId="0" borderId="116" xfId="85" applyFont="1" applyBorder="1" applyAlignment="1">
      <alignment horizontal="center" vertical="center"/>
    </xf>
    <xf numFmtId="41" fontId="116" fillId="0" borderId="117" xfId="89" applyFont="1" applyBorder="1">
      <alignment vertical="center"/>
    </xf>
    <xf numFmtId="0" fontId="119" fillId="0" borderId="118" xfId="88" applyNumberFormat="1" applyFont="1" applyBorder="1" applyAlignment="1">
      <alignment horizontal="center" vertical="center"/>
    </xf>
    <xf numFmtId="41" fontId="119" fillId="0" borderId="119" xfId="89" applyFont="1" applyBorder="1">
      <alignment vertical="center"/>
    </xf>
    <xf numFmtId="0" fontId="119" fillId="0" borderId="120" xfId="85" applyFont="1" applyBorder="1" applyAlignment="1">
      <alignment horizontal="center" vertical="center"/>
    </xf>
    <xf numFmtId="0" fontId="128" fillId="0" borderId="0" xfId="86" applyFont="1" applyAlignment="1">
      <alignment horizontal="center" vertical="center"/>
    </xf>
    <xf numFmtId="0" fontId="119" fillId="0" borderId="121" xfId="89" applyNumberFormat="1" applyFont="1" applyBorder="1" applyAlignment="1">
      <alignment horizontal="center" vertical="center"/>
    </xf>
    <xf numFmtId="41" fontId="116" fillId="0" borderId="122" xfId="89" applyFont="1" applyBorder="1">
      <alignment vertical="center"/>
    </xf>
    <xf numFmtId="0" fontId="119" fillId="0" borderId="123" xfId="88" applyNumberFormat="1" applyFont="1" applyBorder="1" applyAlignment="1">
      <alignment horizontal="center" vertical="center"/>
    </xf>
    <xf numFmtId="41" fontId="119" fillId="0" borderId="124" xfId="89" applyFont="1" applyBorder="1">
      <alignment vertical="center"/>
    </xf>
    <xf numFmtId="0" fontId="119" fillId="0" borderId="125" xfId="85" applyFont="1" applyBorder="1" applyAlignment="1">
      <alignment horizontal="center" vertical="center"/>
    </xf>
    <xf numFmtId="0" fontId="126" fillId="13" borderId="16" xfId="85" applyFont="1" applyFill="1" applyBorder="1" applyAlignment="1">
      <alignment horizontal="center" vertical="center"/>
    </xf>
    <xf numFmtId="41" fontId="126" fillId="13" borderId="24" xfId="85" applyNumberFormat="1" applyFont="1" applyFill="1" applyBorder="1">
      <alignment vertical="center"/>
    </xf>
    <xf numFmtId="0" fontId="126" fillId="13" borderId="25" xfId="85" applyFont="1" applyFill="1" applyBorder="1" applyAlignment="1">
      <alignment horizontal="center" vertical="center"/>
    </xf>
    <xf numFmtId="0" fontId="126" fillId="13" borderId="4" xfId="85" applyFont="1" applyFill="1" applyBorder="1" applyAlignment="1">
      <alignment horizontal="center" vertical="center"/>
    </xf>
    <xf numFmtId="41" fontId="126" fillId="13" borderId="25" xfId="88" applyFont="1" applyFill="1" applyBorder="1" applyAlignment="1">
      <alignment horizontal="center" vertical="center"/>
    </xf>
    <xf numFmtId="41" fontId="126" fillId="13" borderId="126" xfId="88" applyFont="1" applyFill="1" applyBorder="1" applyAlignment="1">
      <alignment horizontal="center" vertical="center"/>
    </xf>
    <xf numFmtId="41" fontId="126" fillId="13" borderId="17" xfId="88" applyFont="1" applyFill="1" applyBorder="1" applyAlignment="1">
      <alignment horizontal="center" vertical="center"/>
    </xf>
    <xf numFmtId="41" fontId="126" fillId="13" borderId="4" xfId="88" applyFont="1" applyFill="1" applyBorder="1" applyAlignment="1">
      <alignment horizontal="center" vertical="center"/>
    </xf>
    <xf numFmtId="0" fontId="119" fillId="0" borderId="4" xfId="89" applyNumberFormat="1" applyFont="1" applyBorder="1" applyAlignment="1">
      <alignment horizontal="center" vertical="center"/>
    </xf>
    <xf numFmtId="0" fontId="119" fillId="0" borderId="126" xfId="89" applyNumberFormat="1" applyFont="1" applyBorder="1" applyAlignment="1">
      <alignment horizontal="center" vertical="center"/>
    </xf>
    <xf numFmtId="41" fontId="126" fillId="0" borderId="17" xfId="89" applyFont="1" applyBorder="1" applyAlignment="1">
      <alignment horizontal="center" vertical="center"/>
    </xf>
    <xf numFmtId="41" fontId="126" fillId="0" borderId="16" xfId="89" applyFont="1" applyBorder="1" applyAlignment="1">
      <alignment horizontal="center" vertical="center"/>
    </xf>
    <xf numFmtId="41" fontId="119" fillId="0" borderId="25" xfId="89" applyFont="1" applyBorder="1" applyAlignment="1">
      <alignment horizontal="center" vertical="center"/>
    </xf>
    <xf numFmtId="41" fontId="119" fillId="0" borderId="126" xfId="89" applyFont="1" applyBorder="1" applyAlignment="1">
      <alignment horizontal="center" vertical="center"/>
    </xf>
    <xf numFmtId="41" fontId="119" fillId="0" borderId="17" xfId="89" applyFont="1" applyBorder="1" applyAlignment="1">
      <alignment horizontal="center" vertical="center"/>
    </xf>
    <xf numFmtId="41" fontId="119" fillId="0" borderId="4" xfId="89" applyFont="1" applyBorder="1" applyAlignment="1">
      <alignment horizontal="center" vertical="center"/>
    </xf>
    <xf numFmtId="41" fontId="126" fillId="13" borderId="103" xfId="88" applyFont="1" applyFill="1" applyBorder="1" applyAlignment="1">
      <alignment horizontal="center" vertical="center" wrapText="1"/>
    </xf>
    <xf numFmtId="0" fontId="126" fillId="13" borderId="103" xfId="85" applyFont="1" applyFill="1" applyBorder="1" applyAlignment="1">
      <alignment horizontal="center" vertical="center" wrapText="1"/>
    </xf>
    <xf numFmtId="41" fontId="119" fillId="0" borderId="113" xfId="89" applyFont="1" applyBorder="1">
      <alignment vertical="center"/>
    </xf>
    <xf numFmtId="41" fontId="126" fillId="0" borderId="114" xfId="89" applyFont="1" applyBorder="1">
      <alignment vertical="center"/>
    </xf>
    <xf numFmtId="0" fontId="128" fillId="2" borderId="0" xfId="86" applyFont="1" applyFill="1"/>
    <xf numFmtId="41" fontId="119" fillId="0" borderId="118" xfId="89" applyFont="1" applyBorder="1">
      <alignment vertical="center"/>
    </xf>
    <xf numFmtId="41" fontId="126" fillId="0" borderId="119" xfId="89" applyFont="1" applyBorder="1">
      <alignment vertical="center"/>
    </xf>
    <xf numFmtId="41" fontId="119" fillId="0" borderId="127" xfId="89" applyFont="1" applyBorder="1">
      <alignment vertical="center"/>
    </xf>
    <xf numFmtId="41" fontId="126" fillId="0" borderId="0" xfId="89" applyFont="1">
      <alignment vertical="center"/>
    </xf>
    <xf numFmtId="0" fontId="128" fillId="2" borderId="0" xfId="86" applyFont="1" applyFill="1" applyAlignment="1">
      <alignment horizontal="centerContinuous" vertical="center"/>
    </xf>
    <xf numFmtId="41" fontId="128" fillId="2" borderId="0" xfId="86" applyNumberFormat="1" applyFont="1" applyFill="1" applyAlignment="1">
      <alignment horizontal="centerContinuous" vertical="center"/>
    </xf>
    <xf numFmtId="41" fontId="128" fillId="2" borderId="0" xfId="90" applyFont="1" applyFill="1" applyBorder="1" applyAlignment="1">
      <alignment horizontal="center" vertical="center"/>
    </xf>
    <xf numFmtId="0" fontId="126" fillId="13" borderId="126" xfId="85" applyFont="1" applyFill="1" applyBorder="1" applyAlignment="1">
      <alignment horizontal="center" vertical="center"/>
    </xf>
    <xf numFmtId="41" fontId="126" fillId="13" borderId="24" xfId="85" applyNumberFormat="1" applyFont="1" applyFill="1" applyBorder="1" applyAlignment="1">
      <alignment horizontal="center" vertical="center"/>
    </xf>
    <xf numFmtId="0" fontId="126" fillId="13" borderId="128" xfId="85" applyFont="1" applyFill="1" applyBorder="1" applyAlignment="1">
      <alignment horizontal="center" vertical="center"/>
    </xf>
    <xf numFmtId="0" fontId="130" fillId="0" borderId="0" xfId="0" applyFont="1" applyAlignment="1">
      <alignment horizontal="left" vertical="center"/>
    </xf>
    <xf numFmtId="0" fontId="131" fillId="0" borderId="0" xfId="0" applyFont="1" applyAlignment="1">
      <alignment vertical="center"/>
    </xf>
    <xf numFmtId="0" fontId="132" fillId="0" borderId="0" xfId="0" applyFont="1" applyAlignment="1">
      <alignment vertical="center"/>
    </xf>
    <xf numFmtId="0" fontId="133" fillId="0" borderId="0" xfId="0" applyFont="1" applyAlignment="1">
      <alignment vertical="center"/>
    </xf>
    <xf numFmtId="0" fontId="133" fillId="0" borderId="0" xfId="0" applyFont="1" applyAlignment="1">
      <alignment horizontal="right" vertical="center"/>
    </xf>
    <xf numFmtId="0" fontId="136" fillId="0" borderId="0" xfId="0" applyFont="1" applyAlignment="1">
      <alignment horizontal="left" vertical="center"/>
    </xf>
    <xf numFmtId="41" fontId="133" fillId="0" borderId="0" xfId="91" applyNumberFormat="1" applyFont="1" applyBorder="1" applyAlignment="1">
      <alignment vertical="center"/>
    </xf>
    <xf numFmtId="41" fontId="136" fillId="0" borderId="0" xfId="88" applyFont="1">
      <alignment vertical="center"/>
    </xf>
    <xf numFmtId="0" fontId="133" fillId="0" borderId="0" xfId="0" applyFont="1" applyAlignment="1">
      <alignment horizontal="center" vertical="center" wrapText="1"/>
    </xf>
    <xf numFmtId="0" fontId="131" fillId="0" borderId="20" xfId="0" applyFont="1" applyBorder="1" applyAlignment="1">
      <alignment vertical="center"/>
    </xf>
    <xf numFmtId="0" fontId="133" fillId="0" borderId="0" xfId="0" applyFont="1" applyAlignment="1">
      <alignment horizontal="center" vertical="center"/>
    </xf>
    <xf numFmtId="0" fontId="131" fillId="0" borderId="15" xfId="0" applyFont="1" applyBorder="1" applyAlignment="1">
      <alignment vertical="center"/>
    </xf>
    <xf numFmtId="0" fontId="136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41" fontId="131" fillId="0" borderId="0" xfId="29" applyFont="1" applyAlignment="1">
      <alignment vertical="center"/>
    </xf>
    <xf numFmtId="41" fontId="139" fillId="0" borderId="4" xfId="90" applyFont="1" applyFill="1" applyBorder="1" applyAlignment="1">
      <alignment horizontal="center" vertical="center" shrinkToFit="1"/>
    </xf>
    <xf numFmtId="0" fontId="141" fillId="0" borderId="0" xfId="85" applyFont="1" applyAlignment="1">
      <alignment horizontal="center" vertical="center"/>
    </xf>
    <xf numFmtId="0" fontId="139" fillId="0" borderId="0" xfId="87" applyFont="1" applyAlignment="1">
      <alignment horizontal="left" vertical="center"/>
    </xf>
    <xf numFmtId="0" fontId="139" fillId="0" borderId="0" xfId="86" applyFont="1" applyAlignment="1">
      <alignment vertical="center" wrapText="1"/>
    </xf>
    <xf numFmtId="41" fontId="139" fillId="0" borderId="0" xfId="90" applyFont="1" applyFill="1" applyBorder="1" applyAlignment="1">
      <alignment horizontal="right" vertical="center"/>
    </xf>
    <xf numFmtId="0" fontId="139" fillId="14" borderId="4" xfId="85" applyFont="1" applyFill="1" applyBorder="1" applyAlignment="1">
      <alignment horizontal="center" vertical="center"/>
    </xf>
    <xf numFmtId="41" fontId="139" fillId="0" borderId="4" xfId="90" applyFont="1" applyFill="1" applyBorder="1" applyAlignment="1">
      <alignment vertical="center" shrinkToFit="1"/>
    </xf>
    <xf numFmtId="41" fontId="142" fillId="0" borderId="4" xfId="90" applyFont="1" applyFill="1" applyBorder="1" applyAlignment="1">
      <alignment horizontal="center" vertical="center" shrinkToFit="1"/>
    </xf>
    <xf numFmtId="41" fontId="142" fillId="0" borderId="4" xfId="90" applyFont="1" applyFill="1" applyBorder="1" applyAlignment="1">
      <alignment horizontal="left" vertical="center" wrapText="1"/>
    </xf>
    <xf numFmtId="41" fontId="139" fillId="0" borderId="4" xfId="90" applyFont="1" applyFill="1" applyBorder="1" applyAlignment="1">
      <alignment horizontal="center" vertical="center"/>
    </xf>
    <xf numFmtId="41" fontId="139" fillId="0" borderId="4" xfId="90" applyFont="1" applyFill="1" applyBorder="1" applyAlignment="1">
      <alignment vertical="center"/>
    </xf>
    <xf numFmtId="41" fontId="142" fillId="0" borderId="4" xfId="90" applyFont="1" applyFill="1" applyBorder="1" applyAlignment="1">
      <alignment horizontal="center" vertical="center"/>
    </xf>
    <xf numFmtId="41" fontId="139" fillId="0" borderId="22" xfId="29" applyFont="1" applyFill="1" applyBorder="1" applyAlignment="1">
      <alignment horizontal="left" vertical="center" shrinkToFit="1"/>
    </xf>
    <xf numFmtId="0" fontId="133" fillId="0" borderId="4" xfId="85" applyFont="1" applyBorder="1" applyAlignment="1">
      <alignment horizontal="center" vertical="center"/>
    </xf>
    <xf numFmtId="41" fontId="133" fillId="0" borderId="4" xfId="85" applyNumberFormat="1" applyFont="1" applyBorder="1" applyAlignment="1">
      <alignment horizontal="center" vertical="center"/>
    </xf>
    <xf numFmtId="0" fontId="143" fillId="2" borderId="0" xfId="86" applyFont="1" applyFill="1" applyAlignment="1">
      <alignment horizontal="left" vertical="center"/>
    </xf>
    <xf numFmtId="0" fontId="143" fillId="2" borderId="4" xfId="86" applyFont="1" applyFill="1" applyBorder="1" applyAlignment="1">
      <alignment horizontal="left" vertical="center"/>
    </xf>
    <xf numFmtId="201" fontId="139" fillId="2" borderId="4" xfId="81" applyNumberFormat="1" applyFont="1" applyFill="1" applyBorder="1" applyAlignment="1">
      <alignment vertical="center"/>
    </xf>
    <xf numFmtId="0" fontId="131" fillId="0" borderId="112" xfId="0" applyFont="1" applyBorder="1" applyAlignment="1">
      <alignment horizontal="center" vertical="center"/>
    </xf>
    <xf numFmtId="0" fontId="131" fillId="0" borderId="146" xfId="0" applyFont="1" applyBorder="1" applyAlignment="1">
      <alignment horizontal="center" vertical="center"/>
    </xf>
    <xf numFmtId="0" fontId="131" fillId="0" borderId="131" xfId="0" applyFont="1" applyBorder="1" applyAlignment="1">
      <alignment horizontal="center" vertical="center"/>
    </xf>
    <xf numFmtId="0" fontId="131" fillId="0" borderId="147" xfId="0" applyFont="1" applyBorder="1" applyAlignment="1">
      <alignment horizontal="center" vertical="center"/>
    </xf>
    <xf numFmtId="0" fontId="131" fillId="0" borderId="148" xfId="0" applyFont="1" applyBorder="1" applyAlignment="1">
      <alignment horizontal="center" vertical="center"/>
    </xf>
    <xf numFmtId="0" fontId="131" fillId="0" borderId="149" xfId="0" applyFont="1" applyBorder="1" applyAlignment="1">
      <alignment horizontal="center" vertical="center"/>
    </xf>
    <xf numFmtId="0" fontId="131" fillId="0" borderId="152" xfId="0" applyFont="1" applyBorder="1" applyAlignment="1">
      <alignment horizontal="center" vertical="center"/>
    </xf>
    <xf numFmtId="0" fontId="131" fillId="0" borderId="153" xfId="0" applyFont="1" applyBorder="1" applyAlignment="1">
      <alignment horizontal="center" vertical="center"/>
    </xf>
    <xf numFmtId="0" fontId="131" fillId="0" borderId="154" xfId="0" applyFont="1" applyBorder="1" applyAlignment="1">
      <alignment horizontal="center" vertical="center"/>
    </xf>
    <xf numFmtId="0" fontId="131" fillId="0" borderId="155" xfId="0" applyFont="1" applyBorder="1" applyAlignment="1">
      <alignment horizontal="center" vertical="center"/>
    </xf>
    <xf numFmtId="0" fontId="131" fillId="0" borderId="156" xfId="0" applyFont="1" applyBorder="1" applyAlignment="1">
      <alignment horizontal="center" vertical="center"/>
    </xf>
    <xf numFmtId="0" fontId="131" fillId="0" borderId="157" xfId="0" applyFont="1" applyBorder="1" applyAlignment="1">
      <alignment horizontal="center" vertical="center"/>
    </xf>
    <xf numFmtId="0" fontId="131" fillId="0" borderId="145" xfId="0" applyFont="1" applyBorder="1" applyAlignment="1">
      <alignment vertical="center"/>
    </xf>
    <xf numFmtId="42" fontId="131" fillId="0" borderId="113" xfId="0" applyNumberFormat="1" applyFont="1" applyBorder="1" applyAlignment="1">
      <alignment vertical="center"/>
    </xf>
    <xf numFmtId="202" fontId="131" fillId="0" borderId="113" xfId="0" applyNumberFormat="1" applyFont="1" applyBorder="1" applyAlignment="1">
      <alignment vertical="center"/>
    </xf>
    <xf numFmtId="14" fontId="131" fillId="0" borderId="113" xfId="0" applyNumberFormat="1" applyFont="1" applyBorder="1" applyAlignment="1">
      <alignment vertical="center"/>
    </xf>
    <xf numFmtId="42" fontId="131" fillId="0" borderId="112" xfId="0" applyNumberFormat="1" applyFont="1" applyBorder="1" applyAlignment="1">
      <alignment vertical="center"/>
    </xf>
    <xf numFmtId="42" fontId="131" fillId="0" borderId="159" xfId="0" applyNumberFormat="1" applyFont="1" applyBorder="1" applyAlignment="1">
      <alignment vertical="center"/>
    </xf>
    <xf numFmtId="42" fontId="131" fillId="0" borderId="131" xfId="0" applyNumberFormat="1" applyFont="1" applyBorder="1" applyAlignment="1">
      <alignment vertical="center"/>
    </xf>
    <xf numFmtId="42" fontId="131" fillId="0" borderId="160" xfId="0" applyNumberFormat="1" applyFont="1" applyBorder="1" applyAlignment="1">
      <alignment vertical="center"/>
    </xf>
    <xf numFmtId="42" fontId="131" fillId="0" borderId="161" xfId="0" applyNumberFormat="1" applyFont="1" applyBorder="1" applyAlignment="1">
      <alignment vertical="center"/>
    </xf>
    <xf numFmtId="42" fontId="131" fillId="0" borderId="150" xfId="0" applyNumberFormat="1" applyFont="1" applyBorder="1" applyAlignment="1">
      <alignment vertical="center"/>
    </xf>
    <xf numFmtId="42" fontId="131" fillId="0" borderId="0" xfId="0" applyNumberFormat="1" applyFont="1" applyAlignment="1">
      <alignment vertical="center"/>
    </xf>
    <xf numFmtId="0" fontId="131" fillId="0" borderId="162" xfId="0" applyFont="1" applyBorder="1" applyAlignment="1">
      <alignment vertical="center"/>
    </xf>
    <xf numFmtId="42" fontId="131" fillId="0" borderId="118" xfId="0" applyNumberFormat="1" applyFont="1" applyBorder="1" applyAlignment="1">
      <alignment vertical="center"/>
    </xf>
    <xf numFmtId="202" fontId="131" fillId="0" borderId="118" xfId="0" applyNumberFormat="1" applyFont="1" applyBorder="1" applyAlignment="1">
      <alignment vertical="center"/>
    </xf>
    <xf numFmtId="14" fontId="131" fillId="0" borderId="118" xfId="0" applyNumberFormat="1" applyFont="1" applyBorder="1" applyAlignment="1">
      <alignment vertical="center"/>
    </xf>
    <xf numFmtId="42" fontId="131" fillId="0" borderId="117" xfId="0" applyNumberFormat="1" applyFont="1" applyBorder="1" applyAlignment="1">
      <alignment vertical="center"/>
    </xf>
    <xf numFmtId="42" fontId="131" fillId="0" borderId="163" xfId="0" applyNumberFormat="1" applyFont="1" applyBorder="1" applyAlignment="1">
      <alignment vertical="center"/>
    </xf>
    <xf numFmtId="42" fontId="131" fillId="0" borderId="137" xfId="0" applyNumberFormat="1" applyFont="1" applyBorder="1" applyAlignment="1">
      <alignment vertical="center"/>
    </xf>
    <xf numFmtId="42" fontId="131" fillId="0" borderId="164" xfId="0" applyNumberFormat="1" applyFont="1" applyBorder="1" applyAlignment="1">
      <alignment vertical="center"/>
    </xf>
    <xf numFmtId="42" fontId="131" fillId="0" borderId="165" xfId="0" applyNumberFormat="1" applyFont="1" applyBorder="1" applyAlignment="1">
      <alignment vertical="center"/>
    </xf>
    <xf numFmtId="42" fontId="131" fillId="0" borderId="166" xfId="0" applyNumberFormat="1" applyFont="1" applyBorder="1" applyAlignment="1">
      <alignment vertical="center"/>
    </xf>
    <xf numFmtId="0" fontId="131" fillId="0" borderId="151" xfId="0" applyFont="1" applyBorder="1" applyAlignment="1">
      <alignment vertical="center"/>
    </xf>
    <xf numFmtId="42" fontId="131" fillId="0" borderId="152" xfId="0" applyNumberFormat="1" applyFont="1" applyBorder="1" applyAlignment="1">
      <alignment vertical="center"/>
    </xf>
    <xf numFmtId="202" fontId="131" fillId="0" borderId="152" xfId="0" applyNumberFormat="1" applyFont="1" applyBorder="1" applyAlignment="1">
      <alignment vertical="center"/>
    </xf>
    <xf numFmtId="14" fontId="131" fillId="0" borderId="152" xfId="0" applyNumberFormat="1" applyFont="1" applyBorder="1" applyAlignment="1">
      <alignment vertical="center"/>
    </xf>
    <xf numFmtId="42" fontId="131" fillId="0" borderId="153" xfId="0" applyNumberFormat="1" applyFont="1" applyBorder="1" applyAlignment="1">
      <alignment vertical="center"/>
    </xf>
    <xf numFmtId="42" fontId="131" fillId="0" borderId="154" xfId="0" applyNumberFormat="1" applyFont="1" applyBorder="1" applyAlignment="1">
      <alignment vertical="center"/>
    </xf>
    <xf numFmtId="42" fontId="131" fillId="0" borderId="155" xfId="0" applyNumberFormat="1" applyFont="1" applyBorder="1" applyAlignment="1">
      <alignment vertical="center"/>
    </xf>
    <xf numFmtId="42" fontId="131" fillId="0" borderId="156" xfId="0" applyNumberFormat="1" applyFont="1" applyBorder="1" applyAlignment="1">
      <alignment vertical="center"/>
    </xf>
    <xf numFmtId="42" fontId="131" fillId="0" borderId="157" xfId="0" applyNumberFormat="1" applyFont="1" applyBorder="1" applyAlignment="1">
      <alignment vertical="center"/>
    </xf>
    <xf numFmtId="42" fontId="131" fillId="0" borderId="158" xfId="0" applyNumberFormat="1" applyFont="1" applyBorder="1" applyAlignment="1">
      <alignment vertical="center"/>
    </xf>
    <xf numFmtId="0" fontId="131" fillId="0" borderId="167" xfId="0" applyFont="1" applyBorder="1" applyAlignment="1">
      <alignment vertical="center"/>
    </xf>
    <xf numFmtId="42" fontId="131" fillId="0" borderId="168" xfId="0" applyNumberFormat="1" applyFont="1" applyBorder="1" applyAlignment="1">
      <alignment vertical="center"/>
    </xf>
    <xf numFmtId="42" fontId="131" fillId="0" borderId="169" xfId="0" applyNumberFormat="1" applyFont="1" applyBorder="1" applyAlignment="1">
      <alignment vertical="center"/>
    </xf>
    <xf numFmtId="0" fontId="131" fillId="0" borderId="170" xfId="0" applyFont="1" applyBorder="1" applyAlignment="1">
      <alignment vertical="center"/>
    </xf>
    <xf numFmtId="42" fontId="131" fillId="0" borderId="170" xfId="0" applyNumberFormat="1" applyFont="1" applyBorder="1" applyAlignment="1">
      <alignment vertical="center"/>
    </xf>
    <xf numFmtId="42" fontId="131" fillId="0" borderId="171" xfId="0" applyNumberFormat="1" applyFont="1" applyBorder="1" applyAlignment="1">
      <alignment vertical="center"/>
    </xf>
    <xf numFmtId="42" fontId="131" fillId="0" borderId="172" xfId="0" applyNumberFormat="1" applyFont="1" applyBorder="1" applyAlignment="1">
      <alignment vertical="center"/>
    </xf>
    <xf numFmtId="42" fontId="131" fillId="0" borderId="173" xfId="0" applyNumberFormat="1" applyFont="1" applyBorder="1" applyAlignment="1">
      <alignment vertical="center"/>
    </xf>
    <xf numFmtId="42" fontId="131" fillId="0" borderId="174" xfId="0" applyNumberFormat="1" applyFont="1" applyBorder="1" applyAlignment="1">
      <alignment vertical="center"/>
    </xf>
    <xf numFmtId="42" fontId="131" fillId="0" borderId="175" xfId="0" applyNumberFormat="1" applyFont="1" applyBorder="1" applyAlignment="1">
      <alignment vertical="center"/>
    </xf>
    <xf numFmtId="0" fontId="145" fillId="0" borderId="176" xfId="0" applyFont="1" applyBorder="1" applyAlignment="1">
      <alignment horizontal="center" vertical="center" wrapText="1"/>
    </xf>
    <xf numFmtId="42" fontId="145" fillId="0" borderId="177" xfId="0" applyNumberFormat="1" applyFont="1" applyBorder="1" applyAlignment="1">
      <alignment vertical="center"/>
    </xf>
    <xf numFmtId="0" fontId="131" fillId="0" borderId="177" xfId="0" applyFont="1" applyBorder="1" applyAlignment="1">
      <alignment vertical="center"/>
    </xf>
    <xf numFmtId="0" fontId="146" fillId="0" borderId="177" xfId="0" applyFont="1" applyBorder="1" applyAlignment="1">
      <alignment horizontal="center" vertical="center"/>
    </xf>
    <xf numFmtId="0" fontId="147" fillId="0" borderId="178" xfId="0" applyFont="1" applyBorder="1" applyAlignment="1">
      <alignment horizontal="center" vertical="center"/>
    </xf>
    <xf numFmtId="0" fontId="145" fillId="0" borderId="116" xfId="0" applyFont="1" applyBorder="1" applyAlignment="1">
      <alignment horizontal="center" vertical="center" wrapText="1"/>
    </xf>
    <xf numFmtId="42" fontId="145" fillId="0" borderId="118" xfId="0" applyNumberFormat="1" applyFont="1" applyBorder="1" applyAlignment="1">
      <alignment vertical="center"/>
    </xf>
    <xf numFmtId="0" fontId="131" fillId="0" borderId="118" xfId="0" applyFont="1" applyBorder="1" applyAlignment="1">
      <alignment vertical="center"/>
    </xf>
    <xf numFmtId="42" fontId="146" fillId="0" borderId="118" xfId="0" applyNumberFormat="1" applyFont="1" applyBorder="1" applyAlignment="1">
      <alignment horizontal="center" vertical="center"/>
    </xf>
    <xf numFmtId="0" fontId="146" fillId="0" borderId="118" xfId="0" applyFont="1" applyBorder="1" applyAlignment="1">
      <alignment horizontal="center" vertical="center"/>
    </xf>
    <xf numFmtId="42" fontId="147" fillId="0" borderId="120" xfId="0" applyNumberFormat="1" applyFont="1" applyBorder="1" applyAlignment="1">
      <alignment horizontal="center" vertical="center"/>
    </xf>
    <xf numFmtId="0" fontId="145" fillId="0" borderId="121" xfId="0" applyFont="1" applyBorder="1" applyAlignment="1">
      <alignment horizontal="center" vertical="center"/>
    </xf>
    <xf numFmtId="42" fontId="145" fillId="0" borderId="123" xfId="0" applyNumberFormat="1" applyFont="1" applyBorder="1" applyAlignment="1">
      <alignment vertical="center"/>
    </xf>
    <xf numFmtId="0" fontId="131" fillId="0" borderId="123" xfId="0" applyFont="1" applyBorder="1" applyAlignment="1">
      <alignment vertical="center"/>
    </xf>
    <xf numFmtId="42" fontId="131" fillId="0" borderId="123" xfId="0" applyNumberFormat="1" applyFont="1" applyBorder="1" applyAlignment="1">
      <alignment vertical="center"/>
    </xf>
    <xf numFmtId="0" fontId="131" fillId="0" borderId="125" xfId="0" applyFont="1" applyBorder="1" applyAlignment="1">
      <alignment vertical="center"/>
    </xf>
    <xf numFmtId="0" fontId="134" fillId="15" borderId="102" xfId="0" applyFont="1" applyFill="1" applyBorder="1" applyAlignment="1">
      <alignment vertical="center"/>
    </xf>
    <xf numFmtId="9" fontId="133" fillId="0" borderId="106" xfId="0" applyNumberFormat="1" applyFont="1" applyBorder="1" applyAlignment="1">
      <alignment vertical="center"/>
    </xf>
    <xf numFmtId="41" fontId="139" fillId="0" borderId="9" xfId="90" applyFont="1" applyFill="1" applyBorder="1" applyAlignment="1">
      <alignment horizontal="center" vertical="center" shrinkToFit="1"/>
    </xf>
    <xf numFmtId="41" fontId="139" fillId="0" borderId="9" xfId="90" applyFont="1" applyFill="1" applyBorder="1" applyAlignment="1">
      <alignment vertical="center" shrinkToFit="1"/>
    </xf>
    <xf numFmtId="41" fontId="142" fillId="0" borderId="9" xfId="90" applyFont="1" applyFill="1" applyBorder="1" applyAlignment="1">
      <alignment horizontal="center" vertical="center" shrinkToFit="1"/>
    </xf>
    <xf numFmtId="41" fontId="142" fillId="0" borderId="9" xfId="90" applyFont="1" applyFill="1" applyBorder="1" applyAlignment="1">
      <alignment horizontal="left" vertical="center" wrapText="1"/>
    </xf>
    <xf numFmtId="0" fontId="133" fillId="0" borderId="11" xfId="85" applyFont="1" applyBorder="1" applyAlignment="1">
      <alignment horizontal="center" vertical="center"/>
    </xf>
    <xf numFmtId="0" fontId="142" fillId="0" borderId="11" xfId="85" applyFont="1" applyBorder="1" applyAlignment="1">
      <alignment horizontal="center" vertical="center"/>
    </xf>
    <xf numFmtId="41" fontId="142" fillId="0" borderId="11" xfId="85" applyNumberFormat="1" applyFont="1" applyBorder="1" applyAlignment="1">
      <alignment horizontal="center" vertical="center"/>
    </xf>
    <xf numFmtId="0" fontId="140" fillId="0" borderId="0" xfId="85" applyFont="1" applyAlignment="1">
      <alignment horizontal="center" vertical="center"/>
    </xf>
    <xf numFmtId="41" fontId="119" fillId="0" borderId="0" xfId="91" applyNumberFormat="1" applyFont="1" applyBorder="1" applyAlignment="1">
      <alignment vertical="center"/>
    </xf>
    <xf numFmtId="41" fontId="149" fillId="0" borderId="0" xfId="88" applyFont="1">
      <alignment vertical="center"/>
    </xf>
    <xf numFmtId="0" fontId="122" fillId="0" borderId="0" xfId="89" applyNumberFormat="1" applyAlignment="1">
      <alignment horizontal="center" vertical="center"/>
    </xf>
    <xf numFmtId="0" fontId="149" fillId="0" borderId="0" xfId="89" applyNumberFormat="1" applyFont="1">
      <alignment vertical="center"/>
    </xf>
    <xf numFmtId="0" fontId="148" fillId="0" borderId="0" xfId="85" applyFont="1" applyAlignment="1">
      <alignment horizontal="left" vertical="center"/>
    </xf>
    <xf numFmtId="0" fontId="122" fillId="0" borderId="0" xfId="85">
      <alignment vertical="center"/>
    </xf>
    <xf numFmtId="0" fontId="119" fillId="0" borderId="0" xfId="85" applyFont="1">
      <alignment vertical="center"/>
    </xf>
    <xf numFmtId="0" fontId="149" fillId="0" borderId="0" xfId="85" applyFont="1">
      <alignment vertical="center"/>
    </xf>
    <xf numFmtId="0" fontId="119" fillId="0" borderId="0" xfId="85" applyFont="1" applyAlignment="1">
      <alignment horizontal="right" vertical="center"/>
    </xf>
    <xf numFmtId="0" fontId="122" fillId="0" borderId="19" xfId="85" applyBorder="1">
      <alignment vertical="center"/>
    </xf>
    <xf numFmtId="41" fontId="116" fillId="0" borderId="129" xfId="89" applyFont="1" applyBorder="1" applyAlignment="1">
      <alignment horizontal="center" vertical="center"/>
    </xf>
    <xf numFmtId="41" fontId="116" fillId="0" borderId="109" xfId="89" applyFont="1" applyBorder="1" applyAlignment="1">
      <alignment horizontal="center" vertical="center"/>
    </xf>
    <xf numFmtId="0" fontId="126" fillId="13" borderId="152" xfId="85" applyFont="1" applyFill="1" applyBorder="1" applyAlignment="1">
      <alignment horizontal="center" vertical="center" wrapText="1"/>
    </xf>
    <xf numFmtId="0" fontId="119" fillId="0" borderId="187" xfId="85" applyFont="1" applyBorder="1" applyAlignment="1">
      <alignment horizontal="center" vertical="center"/>
    </xf>
    <xf numFmtId="196" fontId="119" fillId="0" borderId="188" xfId="85" applyNumberFormat="1" applyFont="1" applyBorder="1" applyAlignment="1">
      <alignment horizontal="center" vertical="center"/>
    </xf>
    <xf numFmtId="196" fontId="119" fillId="0" borderId="189" xfId="85" applyNumberFormat="1" applyFont="1" applyBorder="1" applyAlignment="1">
      <alignment horizontal="center" vertical="center"/>
    </xf>
    <xf numFmtId="196" fontId="116" fillId="0" borderId="190" xfId="85" applyNumberFormat="1" applyFont="1" applyBorder="1" applyAlignment="1">
      <alignment horizontal="center" vertical="center"/>
    </xf>
    <xf numFmtId="196" fontId="119" fillId="0" borderId="118" xfId="85" applyNumberFormat="1" applyFont="1" applyBorder="1" applyAlignment="1">
      <alignment horizontal="center" vertical="center"/>
    </xf>
    <xf numFmtId="196" fontId="116" fillId="0" borderId="120" xfId="85" applyNumberFormat="1" applyFont="1" applyBorder="1" applyAlignment="1">
      <alignment horizontal="center" vertical="center"/>
    </xf>
    <xf numFmtId="0" fontId="119" fillId="0" borderId="116" xfId="89" applyNumberFormat="1" applyFont="1" applyBorder="1" applyAlignment="1">
      <alignment horizontal="center" vertical="center"/>
    </xf>
    <xf numFmtId="196" fontId="119" fillId="0" borderId="118" xfId="89" applyNumberFormat="1" applyFont="1" applyBorder="1" applyAlignment="1">
      <alignment horizontal="center" vertical="center"/>
    </xf>
    <xf numFmtId="0" fontId="151" fillId="0" borderId="0" xfId="85" applyFont="1">
      <alignment vertical="center"/>
    </xf>
    <xf numFmtId="196" fontId="119" fillId="0" borderId="123" xfId="85" applyNumberFormat="1" applyFont="1" applyBorder="1" applyAlignment="1">
      <alignment horizontal="center" vertical="center"/>
    </xf>
    <xf numFmtId="196" fontId="150" fillId="13" borderId="17" xfId="85" applyNumberFormat="1" applyFont="1" applyFill="1" applyBorder="1" applyAlignment="1">
      <alignment horizontal="center" vertical="center"/>
    </xf>
    <xf numFmtId="0" fontId="79" fillId="0" borderId="0" xfId="85" applyFont="1">
      <alignment vertical="center"/>
    </xf>
    <xf numFmtId="0" fontId="33" fillId="0" borderId="17" xfId="86" applyFont="1" applyBorder="1" applyAlignment="1">
      <alignment horizontal="center" vertical="center"/>
    </xf>
    <xf numFmtId="0" fontId="33" fillId="0" borderId="137" xfId="86" applyFont="1" applyBorder="1" applyAlignment="1">
      <alignment horizontal="center" vertical="center"/>
    </xf>
    <xf numFmtId="0" fontId="33" fillId="0" borderId="16" xfId="86" applyFont="1" applyBorder="1" applyAlignment="1">
      <alignment horizontal="center" vertical="center"/>
    </xf>
    <xf numFmtId="41" fontId="33" fillId="0" borderId="179" xfId="86" applyNumberFormat="1" applyFont="1" applyBorder="1" applyAlignment="1">
      <alignment horizontal="center" vertical="center"/>
    </xf>
    <xf numFmtId="41" fontId="33" fillId="0" borderId="137" xfId="86" applyNumberFormat="1" applyFont="1" applyBorder="1" applyAlignment="1">
      <alignment horizontal="center" vertical="center"/>
    </xf>
    <xf numFmtId="42" fontId="33" fillId="0" borderId="136" xfId="86" applyNumberFormat="1" applyFont="1" applyBorder="1" applyAlignment="1">
      <alignment horizontal="center" vertical="center"/>
    </xf>
    <xf numFmtId="41" fontId="33" fillId="0" borderId="13" xfId="90" applyFont="1" applyFill="1" applyBorder="1" applyAlignment="1">
      <alignment horizontal="center" vertical="center"/>
    </xf>
    <xf numFmtId="41" fontId="33" fillId="0" borderId="0" xfId="90" applyFont="1" applyFill="1" applyBorder="1" applyAlignment="1">
      <alignment horizontal="center" vertical="center"/>
    </xf>
    <xf numFmtId="41" fontId="33" fillId="0" borderId="0" xfId="90" applyFont="1" applyFill="1" applyBorder="1" applyAlignment="1">
      <alignment horizontal="right" vertical="center" shrinkToFit="1"/>
    </xf>
    <xf numFmtId="9" fontId="0" fillId="0" borderId="0" xfId="27" applyFont="1" applyAlignment="1">
      <alignment vertical="center"/>
    </xf>
    <xf numFmtId="41" fontId="139" fillId="0" borderId="22" xfId="90" applyFont="1" applyFill="1" applyBorder="1" applyAlignment="1">
      <alignment horizontal="left" vertical="center" wrapText="1"/>
    </xf>
    <xf numFmtId="192" fontId="33" fillId="0" borderId="0" xfId="90" applyNumberFormat="1" applyFont="1" applyFill="1" applyBorder="1" applyAlignment="1">
      <alignment horizontal="center" vertical="center"/>
    </xf>
    <xf numFmtId="41" fontId="33" fillId="0" borderId="22" xfId="90" applyFont="1" applyFill="1" applyBorder="1" applyAlignment="1">
      <alignment horizontal="center" vertical="center"/>
    </xf>
    <xf numFmtId="41" fontId="33" fillId="0" borderId="22" xfId="9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41" fontId="33" fillId="2" borderId="0" xfId="90" applyFont="1" applyFill="1" applyAlignment="1">
      <alignment horizontal="center" vertical="center"/>
    </xf>
    <xf numFmtId="41" fontId="33" fillId="2" borderId="0" xfId="90" applyFont="1" applyFill="1" applyBorder="1" applyAlignment="1">
      <alignment horizontal="center" vertical="center"/>
    </xf>
    <xf numFmtId="41" fontId="35" fillId="2" borderId="0" xfId="90" applyFont="1" applyFill="1" applyAlignment="1">
      <alignment horizontal="centerContinuous" vertical="center"/>
    </xf>
    <xf numFmtId="41" fontId="35" fillId="2" borderId="0" xfId="90" quotePrefix="1" applyFont="1" applyFill="1" applyBorder="1" applyAlignment="1">
      <alignment horizontal="centerContinuous" vertical="center"/>
    </xf>
    <xf numFmtId="41" fontId="35" fillId="2" borderId="0" xfId="90" quotePrefix="1" applyFont="1" applyFill="1" applyAlignment="1">
      <alignment horizontal="centerContinuous" vertical="center"/>
    </xf>
    <xf numFmtId="41" fontId="35" fillId="2" borderId="0" xfId="90" applyFont="1" applyFill="1" applyBorder="1" applyAlignment="1">
      <alignment horizontal="centerContinuous" vertical="center"/>
    </xf>
    <xf numFmtId="41" fontId="33" fillId="2" borderId="0" xfId="90" applyFont="1" applyFill="1" applyBorder="1" applyAlignment="1">
      <alignment horizontal="right" vertical="center"/>
    </xf>
    <xf numFmtId="49" fontId="33" fillId="2" borderId="4" xfId="90" applyNumberFormat="1" applyFont="1" applyFill="1" applyBorder="1" applyAlignment="1">
      <alignment horizontal="center" vertical="center"/>
    </xf>
    <xf numFmtId="49" fontId="33" fillId="2" borderId="16" xfId="90" applyNumberFormat="1" applyFont="1" applyFill="1" applyBorder="1" applyAlignment="1">
      <alignment horizontal="center" vertical="center"/>
    </xf>
    <xf numFmtId="41" fontId="33" fillId="2" borderId="13" xfId="90" applyFont="1" applyFill="1" applyBorder="1" applyAlignment="1">
      <alignment horizontal="center" vertical="center"/>
    </xf>
    <xf numFmtId="41" fontId="33" fillId="2" borderId="14" xfId="90" applyFont="1" applyFill="1" applyBorder="1" applyAlignment="1">
      <alignment horizontal="center" vertical="center"/>
    </xf>
    <xf numFmtId="41" fontId="33" fillId="2" borderId="22" xfId="90" applyFont="1" applyFill="1" applyBorder="1" applyAlignment="1">
      <alignment horizontal="center" vertical="center"/>
    </xf>
    <xf numFmtId="41" fontId="33" fillId="2" borderId="20" xfId="90" applyFont="1" applyFill="1" applyBorder="1" applyAlignment="1">
      <alignment horizontal="center" vertical="center"/>
    </xf>
    <xf numFmtId="41" fontId="33" fillId="0" borderId="20" xfId="90" applyFont="1" applyFill="1" applyBorder="1" applyAlignment="1">
      <alignment horizontal="center" vertical="center"/>
    </xf>
    <xf numFmtId="41" fontId="33" fillId="0" borderId="0" xfId="90" applyFont="1" applyFill="1" applyBorder="1" applyAlignment="1">
      <alignment horizontal="left" vertical="center" wrapText="1" shrinkToFit="1"/>
    </xf>
    <xf numFmtId="0" fontId="33" fillId="0" borderId="22" xfId="90" applyNumberFormat="1" applyFont="1" applyFill="1" applyBorder="1" applyAlignment="1">
      <alignment horizontal="center" vertical="center"/>
    </xf>
    <xf numFmtId="41" fontId="33" fillId="0" borderId="22" xfId="90" applyFont="1" applyFill="1" applyBorder="1" applyAlignment="1">
      <alignment horizontal="left" vertical="center" shrinkToFit="1"/>
    </xf>
    <xf numFmtId="41" fontId="33" fillId="0" borderId="0" xfId="90" applyFont="1" applyFill="1" applyBorder="1" applyAlignment="1">
      <alignment vertical="center" shrinkToFit="1"/>
    </xf>
    <xf numFmtId="41" fontId="152" fillId="0" borderId="22" xfId="90" applyFont="1" applyFill="1" applyBorder="1" applyAlignment="1">
      <alignment horizontal="left" vertical="center" wrapText="1"/>
    </xf>
    <xf numFmtId="41" fontId="153" fillId="0" borderId="13" xfId="90" applyFont="1" applyFill="1" applyBorder="1" applyAlignment="1">
      <alignment horizontal="center" vertical="center"/>
    </xf>
    <xf numFmtId="41" fontId="153" fillId="0" borderId="22" xfId="90" applyFont="1" applyFill="1" applyBorder="1" applyAlignment="1">
      <alignment horizontal="center" vertical="center"/>
    </xf>
    <xf numFmtId="195" fontId="33" fillId="0" borderId="0" xfId="90" applyNumberFormat="1" applyFont="1" applyFill="1" applyBorder="1" applyAlignment="1">
      <alignment horizontal="center" vertical="center"/>
    </xf>
    <xf numFmtId="41" fontId="33" fillId="2" borderId="4" xfId="90" applyFont="1" applyFill="1" applyBorder="1" applyAlignment="1">
      <alignment horizontal="center" vertical="center"/>
    </xf>
    <xf numFmtId="41" fontId="33" fillId="2" borderId="16" xfId="90" applyFont="1" applyFill="1" applyBorder="1" applyAlignment="1">
      <alignment horizontal="center" vertical="center"/>
    </xf>
    <xf numFmtId="41" fontId="33" fillId="2" borderId="17" xfId="90" applyFont="1" applyFill="1" applyBorder="1" applyAlignment="1">
      <alignment horizontal="center" vertical="center" shrinkToFit="1"/>
    </xf>
    <xf numFmtId="41" fontId="33" fillId="2" borderId="17" xfId="90" applyFont="1" applyFill="1" applyBorder="1" applyAlignment="1">
      <alignment horizontal="left" vertical="center" shrinkToFit="1"/>
    </xf>
    <xf numFmtId="41" fontId="33" fillId="2" borderId="0" xfId="90" quotePrefix="1" applyFont="1" applyFill="1" applyBorder="1" applyAlignment="1">
      <alignment horizontal="left" vertical="center"/>
    </xf>
    <xf numFmtId="41" fontId="33" fillId="2" borderId="0" xfId="90" applyFont="1" applyFill="1" applyBorder="1" applyAlignment="1">
      <alignment horizontal="left" vertical="center"/>
    </xf>
    <xf numFmtId="41" fontId="33" fillId="2" borderId="0" xfId="90" applyFont="1" applyFill="1" applyBorder="1"/>
    <xf numFmtId="0" fontId="148" fillId="0" borderId="0" xfId="85" applyFont="1">
      <alignment vertical="center"/>
    </xf>
    <xf numFmtId="0" fontId="154" fillId="0" borderId="0" xfId="85" applyFont="1" applyAlignment="1">
      <alignment horizontal="left" vertical="center"/>
    </xf>
    <xf numFmtId="0" fontId="123" fillId="0" borderId="0" xfId="85" applyFont="1" applyAlignment="1">
      <alignment horizontal="left" vertical="center"/>
    </xf>
    <xf numFmtId="41" fontId="149" fillId="0" borderId="0" xfId="85" applyNumberFormat="1" applyFont="1">
      <alignment vertical="center"/>
    </xf>
    <xf numFmtId="0" fontId="126" fillId="16" borderId="123" xfId="85" applyFont="1" applyFill="1" applyBorder="1" applyAlignment="1">
      <alignment horizontal="center" vertical="center" wrapText="1"/>
    </xf>
    <xf numFmtId="0" fontId="119" fillId="0" borderId="0" xfId="85" applyFont="1" applyAlignment="1">
      <alignment horizontal="center" vertical="center" wrapText="1"/>
    </xf>
    <xf numFmtId="0" fontId="116" fillId="0" borderId="189" xfId="85" applyFont="1" applyBorder="1" applyAlignment="1">
      <alignment vertical="center" wrapText="1"/>
    </xf>
    <xf numFmtId="0" fontId="150" fillId="0" borderId="189" xfId="85" applyFont="1" applyBorder="1" applyAlignment="1">
      <alignment vertical="center" wrapText="1"/>
    </xf>
    <xf numFmtId="0" fontId="116" fillId="0" borderId="118" xfId="85" applyFont="1" applyBorder="1" applyAlignment="1">
      <alignment vertical="center" wrapText="1"/>
    </xf>
    <xf numFmtId="0" fontId="116" fillId="0" borderId="177" xfId="85" applyFont="1" applyBorder="1" applyAlignment="1">
      <alignment vertical="center" wrapText="1"/>
    </xf>
    <xf numFmtId="0" fontId="116" fillId="0" borderId="123" xfId="85" applyFont="1" applyBorder="1" applyAlignment="1">
      <alignment vertical="center" wrapText="1"/>
    </xf>
    <xf numFmtId="0" fontId="116" fillId="0" borderId="177" xfId="85" applyFont="1" applyBorder="1">
      <alignment vertical="center"/>
    </xf>
    <xf numFmtId="0" fontId="150" fillId="0" borderId="177" xfId="85" applyFont="1" applyBorder="1">
      <alignment vertical="center"/>
    </xf>
    <xf numFmtId="0" fontId="116" fillId="0" borderId="177" xfId="85" applyFont="1" applyBorder="1" applyAlignment="1">
      <alignment horizontal="right" vertical="center" wrapText="1"/>
    </xf>
    <xf numFmtId="0" fontId="116" fillId="0" borderId="118" xfId="85" applyFont="1" applyBorder="1" applyAlignment="1">
      <alignment horizontal="right" vertical="center" wrapText="1"/>
    </xf>
    <xf numFmtId="0" fontId="116" fillId="0" borderId="123" xfId="85" applyFont="1" applyBorder="1" applyAlignment="1">
      <alignment horizontal="right" vertical="center" wrapText="1"/>
    </xf>
    <xf numFmtId="0" fontId="116" fillId="0" borderId="177" xfId="85" applyFont="1" applyBorder="1" applyAlignment="1"/>
    <xf numFmtId="0" fontId="116" fillId="0" borderId="177" xfId="85" applyFont="1" applyBorder="1" applyAlignment="1">
      <alignment wrapText="1"/>
    </xf>
    <xf numFmtId="0" fontId="116" fillId="0" borderId="118" xfId="85" applyFont="1" applyBorder="1" applyAlignment="1">
      <alignment wrapText="1"/>
    </xf>
    <xf numFmtId="0" fontId="150" fillId="0" borderId="118" xfId="85" applyFont="1" applyBorder="1" applyAlignment="1">
      <alignment wrapText="1"/>
    </xf>
    <xf numFmtId="0" fontId="150" fillId="0" borderId="118" xfId="85" applyFont="1" applyBorder="1" applyAlignment="1">
      <alignment horizontal="right" vertical="center" wrapText="1"/>
    </xf>
    <xf numFmtId="0" fontId="116" fillId="0" borderId="118" xfId="85" applyFont="1" applyBorder="1" applyAlignment="1">
      <alignment horizontal="right" wrapText="1"/>
    </xf>
    <xf numFmtId="0" fontId="126" fillId="16" borderId="24" xfId="85" applyFont="1" applyFill="1" applyBorder="1" applyAlignment="1">
      <alignment horizontal="center" vertical="center"/>
    </xf>
    <xf numFmtId="0" fontId="126" fillId="16" borderId="25" xfId="85" applyFont="1" applyFill="1" applyBorder="1" applyAlignment="1">
      <alignment horizontal="center" vertical="center"/>
    </xf>
    <xf numFmtId="0" fontId="119" fillId="0" borderId="0" xfId="85" applyFont="1" applyAlignment="1">
      <alignment horizontal="center" vertical="center"/>
    </xf>
    <xf numFmtId="0" fontId="155" fillId="0" borderId="0" xfId="85" applyFont="1">
      <alignment vertical="center"/>
    </xf>
    <xf numFmtId="0" fontId="126" fillId="0" borderId="0" xfId="85" applyFont="1">
      <alignment vertical="center"/>
    </xf>
    <xf numFmtId="0" fontId="156" fillId="0" borderId="0" xfId="85" applyFont="1">
      <alignment vertical="center"/>
    </xf>
    <xf numFmtId="0" fontId="150" fillId="0" borderId="177" xfId="85" applyFont="1" applyBorder="1" applyAlignment="1"/>
    <xf numFmtId="41" fontId="33" fillId="2" borderId="0" xfId="29" applyFont="1" applyFill="1" applyAlignment="1">
      <alignment horizontal="centerContinuous" vertical="center"/>
    </xf>
    <xf numFmtId="10" fontId="33" fillId="2" borderId="0" xfId="29" applyNumberFormat="1" applyFont="1" applyFill="1" applyAlignment="1">
      <alignment horizontal="center" vertical="center"/>
    </xf>
    <xf numFmtId="41" fontId="33" fillId="2" borderId="0" xfId="0" applyNumberFormat="1" applyFont="1" applyFill="1" applyAlignment="1">
      <alignment horizontal="centerContinuous" vertical="center"/>
    </xf>
    <xf numFmtId="41" fontId="137" fillId="0" borderId="4" xfId="29" applyFont="1" applyFill="1" applyBorder="1" applyAlignment="1">
      <alignment vertical="center"/>
    </xf>
    <xf numFmtId="0" fontId="133" fillId="0" borderId="0" xfId="85" applyFont="1">
      <alignment vertical="center"/>
    </xf>
    <xf numFmtId="0" fontId="139" fillId="14" borderId="0" xfId="85" applyFont="1" applyFill="1" applyAlignment="1">
      <alignment horizontal="center" vertical="center"/>
    </xf>
    <xf numFmtId="41" fontId="139" fillId="0" borderId="0" xfId="90" applyFont="1" applyFill="1" applyBorder="1" applyAlignment="1">
      <alignment horizontal="center" vertical="center" shrinkToFit="1"/>
    </xf>
    <xf numFmtId="41" fontId="139" fillId="0" borderId="0" xfId="29" applyFont="1" applyFill="1" applyBorder="1" applyAlignment="1">
      <alignment horizontal="left" vertical="center" shrinkToFit="1"/>
    </xf>
    <xf numFmtId="0" fontId="33" fillId="0" borderId="0" xfId="86" applyFont="1" applyAlignment="1">
      <alignment horizontal="center" vertical="center"/>
    </xf>
    <xf numFmtId="41" fontId="133" fillId="0" borderId="0" xfId="85" applyNumberFormat="1" applyFont="1" applyAlignment="1">
      <alignment horizontal="center" vertical="center"/>
    </xf>
    <xf numFmtId="41" fontId="33" fillId="2" borderId="0" xfId="29" applyFont="1" applyFill="1" applyBorder="1" applyAlignment="1">
      <alignment horizontal="left" vertical="center" shrinkToFit="1"/>
    </xf>
    <xf numFmtId="183" fontId="33" fillId="0" borderId="14" xfId="29" applyNumberFormat="1" applyFont="1" applyFill="1" applyBorder="1" applyAlignment="1">
      <alignment horizontal="center" vertical="center"/>
    </xf>
    <xf numFmtId="41" fontId="143" fillId="6" borderId="4" xfId="29" applyFont="1" applyFill="1" applyBorder="1" applyAlignment="1">
      <alignment horizontal="left" vertical="center"/>
    </xf>
    <xf numFmtId="183" fontId="33" fillId="0" borderId="20" xfId="29" applyNumberFormat="1" applyFont="1" applyFill="1" applyBorder="1" applyAlignment="1">
      <alignment horizontal="center" vertical="center"/>
    </xf>
    <xf numFmtId="176" fontId="158" fillId="0" borderId="16" xfId="29" applyNumberFormat="1" applyFont="1" applyFill="1" applyBorder="1" applyAlignment="1">
      <alignment horizontal="center" vertical="center" shrinkToFit="1"/>
    </xf>
    <xf numFmtId="176" fontId="158" fillId="0" borderId="4" xfId="29" applyNumberFormat="1" applyFont="1" applyFill="1" applyBorder="1" applyAlignment="1">
      <alignment horizontal="center" vertical="center" shrinkToFit="1"/>
    </xf>
    <xf numFmtId="176" fontId="158" fillId="6" borderId="16" xfId="29" applyNumberFormat="1" applyFont="1" applyFill="1" applyBorder="1" applyAlignment="1">
      <alignment horizontal="center" vertical="center" shrinkToFit="1"/>
    </xf>
    <xf numFmtId="0" fontId="33" fillId="6" borderId="0" xfId="0" applyFont="1" applyFill="1" applyAlignment="1">
      <alignment horizontal="center" vertical="center"/>
    </xf>
    <xf numFmtId="0" fontId="33" fillId="2" borderId="0" xfId="29" applyNumberFormat="1" applyFont="1" applyFill="1" applyBorder="1" applyAlignment="1">
      <alignment horizontal="distributed" vertical="center"/>
    </xf>
    <xf numFmtId="177" fontId="33" fillId="2" borderId="0" xfId="29" applyNumberFormat="1" applyFont="1" applyFill="1" applyBorder="1" applyAlignment="1">
      <alignment horizontal="center" vertical="center"/>
    </xf>
    <xf numFmtId="184" fontId="33" fillId="2" borderId="0" xfId="29" applyNumberFormat="1" applyFont="1" applyFill="1" applyBorder="1" applyAlignment="1">
      <alignment horizontal="center" vertical="center"/>
    </xf>
    <xf numFmtId="9" fontId="75" fillId="2" borderId="0" xfId="29" applyNumberFormat="1" applyFont="1" applyFill="1" applyBorder="1" applyAlignment="1">
      <alignment horizontal="center" vertical="center"/>
    </xf>
    <xf numFmtId="41" fontId="33" fillId="6" borderId="4" xfId="29" applyFont="1" applyFill="1" applyBorder="1" applyAlignment="1">
      <alignment horizontal="left" vertical="center" wrapText="1"/>
    </xf>
    <xf numFmtId="41" fontId="33" fillId="6" borderId="16" xfId="29" applyFont="1" applyFill="1" applyBorder="1" applyAlignment="1">
      <alignment horizontal="left" vertical="center"/>
    </xf>
    <xf numFmtId="41" fontId="33" fillId="6" borderId="16" xfId="29" applyFont="1" applyFill="1" applyBorder="1" applyAlignment="1">
      <alignment horizontal="center" vertical="center"/>
    </xf>
    <xf numFmtId="0" fontId="33" fillId="6" borderId="3" xfId="29" applyNumberFormat="1" applyFont="1" applyFill="1" applyBorder="1" applyAlignment="1">
      <alignment horizontal="distributed" vertical="center"/>
    </xf>
    <xf numFmtId="41" fontId="33" fillId="6" borderId="17" xfId="29" applyFont="1" applyFill="1" applyBorder="1" applyAlignment="1">
      <alignment horizontal="center" vertical="center"/>
    </xf>
    <xf numFmtId="0" fontId="33" fillId="0" borderId="11" xfId="29" applyNumberFormat="1" applyFont="1" applyFill="1" applyBorder="1" applyAlignment="1">
      <alignment horizontal="center" vertical="center" shrinkToFit="1"/>
    </xf>
    <xf numFmtId="177" fontId="33" fillId="0" borderId="11" xfId="29" applyNumberFormat="1" applyFont="1" applyFill="1" applyBorder="1" applyAlignment="1">
      <alignment horizontal="center" vertical="center" shrinkToFit="1"/>
    </xf>
    <xf numFmtId="177" fontId="33" fillId="0" borderId="11" xfId="29" applyNumberFormat="1" applyFont="1" applyFill="1" applyBorder="1" applyAlignment="1">
      <alignment horizontal="right" vertical="center" shrinkToFit="1"/>
    </xf>
    <xf numFmtId="177" fontId="33" fillId="0" borderId="14" xfId="45" applyNumberFormat="1" applyFont="1" applyFill="1" applyBorder="1" applyAlignment="1">
      <alignment horizontal="left" vertical="center"/>
    </xf>
    <xf numFmtId="177" fontId="33" fillId="0" borderId="20" xfId="45" applyNumberFormat="1" applyFont="1" applyFill="1" applyBorder="1" applyAlignment="1">
      <alignment horizontal="left" vertical="center"/>
    </xf>
    <xf numFmtId="177" fontId="33" fillId="0" borderId="18" xfId="45" applyNumberFormat="1" applyFont="1" applyFill="1" applyBorder="1" applyAlignment="1">
      <alignment horizontal="left" vertical="center"/>
    </xf>
    <xf numFmtId="177" fontId="33" fillId="0" borderId="16" xfId="45" applyNumberFormat="1" applyFont="1" applyFill="1" applyBorder="1" applyAlignment="1">
      <alignment horizontal="left" vertical="center"/>
    </xf>
    <xf numFmtId="177" fontId="33" fillId="0" borderId="4" xfId="29" applyNumberFormat="1" applyFont="1" applyFill="1" applyBorder="1" applyAlignment="1">
      <alignment horizontal="left" vertical="center" shrinkToFit="1"/>
    </xf>
    <xf numFmtId="177" fontId="33" fillId="0" borderId="9" xfId="29" applyNumberFormat="1" applyFont="1" applyFill="1" applyBorder="1" applyAlignment="1">
      <alignment horizontal="left" vertical="center" shrinkToFit="1"/>
    </xf>
    <xf numFmtId="41" fontId="35" fillId="0" borderId="0" xfId="29" applyFont="1" applyFill="1" applyAlignment="1">
      <alignment horizontal="left" vertical="center"/>
    </xf>
    <xf numFmtId="49" fontId="33" fillId="0" borderId="19" xfId="68" applyNumberFormat="1" applyFont="1" applyBorder="1" applyAlignment="1">
      <alignment horizontal="left" vertical="center" wrapText="1"/>
    </xf>
    <xf numFmtId="194" fontId="33" fillId="0" borderId="3" xfId="29" applyNumberFormat="1" applyFont="1" applyFill="1" applyBorder="1" applyAlignment="1">
      <alignment horizontal="left" vertical="center"/>
    </xf>
    <xf numFmtId="0" fontId="33" fillId="0" borderId="3" xfId="29" applyNumberFormat="1" applyFont="1" applyFill="1" applyBorder="1" applyAlignment="1">
      <alignment horizontal="left" vertical="center"/>
    </xf>
    <xf numFmtId="181" fontId="33" fillId="0" borderId="0" xfId="68" applyNumberFormat="1" applyFont="1" applyAlignment="1">
      <alignment horizontal="left" vertical="center"/>
    </xf>
    <xf numFmtId="181" fontId="33" fillId="0" borderId="0" xfId="29" applyNumberFormat="1" applyFont="1" applyFill="1" applyAlignment="1">
      <alignment horizontal="left" vertical="center"/>
    </xf>
    <xf numFmtId="181" fontId="35" fillId="0" borderId="0" xfId="0" quotePrefix="1" applyNumberFormat="1" applyFont="1" applyAlignment="1">
      <alignment horizontal="left" vertical="center"/>
    </xf>
    <xf numFmtId="181" fontId="35" fillId="0" borderId="0" xfId="29" applyNumberFormat="1" applyFont="1" applyFill="1" applyAlignment="1">
      <alignment horizontal="left" vertical="center"/>
    </xf>
    <xf numFmtId="181" fontId="35" fillId="0" borderId="0" xfId="29" quotePrefix="1" applyNumberFormat="1" applyFont="1" applyFill="1" applyAlignment="1">
      <alignment horizontal="left" vertical="center"/>
    </xf>
    <xf numFmtId="181" fontId="33" fillId="0" borderId="0" xfId="0" applyNumberFormat="1" applyFont="1" applyAlignment="1">
      <alignment horizontal="left" vertical="center"/>
    </xf>
    <xf numFmtId="181" fontId="33" fillId="0" borderId="17" xfId="29" applyNumberFormat="1" applyFont="1" applyFill="1" applyBorder="1" applyAlignment="1">
      <alignment horizontal="left" vertical="center"/>
    </xf>
    <xf numFmtId="181" fontId="33" fillId="0" borderId="11" xfId="0" applyNumberFormat="1" applyFont="1" applyBorder="1" applyAlignment="1">
      <alignment horizontal="left" vertical="center"/>
    </xf>
    <xf numFmtId="181" fontId="33" fillId="0" borderId="11" xfId="29" applyNumberFormat="1" applyFont="1" applyFill="1" applyBorder="1" applyAlignment="1">
      <alignment horizontal="left" vertical="center"/>
    </xf>
    <xf numFmtId="181" fontId="33" fillId="0" borderId="21" xfId="29" applyNumberFormat="1" applyFont="1" applyFill="1" applyBorder="1" applyAlignment="1">
      <alignment horizontal="left" vertical="center"/>
    </xf>
    <xf numFmtId="181" fontId="33" fillId="0" borderId="4" xfId="0" applyNumberFormat="1" applyFont="1" applyBorder="1" applyAlignment="1">
      <alignment horizontal="left" vertical="center"/>
    </xf>
    <xf numFmtId="181" fontId="33" fillId="0" borderId="17" xfId="0" applyNumberFormat="1" applyFont="1" applyBorder="1" applyAlignment="1">
      <alignment horizontal="left" vertical="center"/>
    </xf>
    <xf numFmtId="181" fontId="33" fillId="0" borderId="0" xfId="81" quotePrefix="1" applyNumberFormat="1" applyFont="1" applyAlignment="1">
      <alignment horizontal="left" vertical="center"/>
    </xf>
    <xf numFmtId="181" fontId="33" fillId="0" borderId="0" xfId="29" quotePrefix="1" applyNumberFormat="1" applyFont="1" applyFill="1" applyBorder="1" applyAlignment="1">
      <alignment horizontal="left" vertical="center"/>
    </xf>
    <xf numFmtId="181" fontId="33" fillId="0" borderId="0" xfId="29" applyNumberFormat="1" applyFont="1" applyFill="1" applyBorder="1" applyAlignment="1">
      <alignment horizontal="left" vertical="center"/>
    </xf>
    <xf numFmtId="181" fontId="33" fillId="0" borderId="21" xfId="68" applyNumberFormat="1" applyFont="1" applyBorder="1" applyAlignment="1">
      <alignment horizontal="left" vertical="center" wrapText="1"/>
    </xf>
    <xf numFmtId="181" fontId="33" fillId="0" borderId="4" xfId="29" applyNumberFormat="1" applyFont="1" applyFill="1" applyBorder="1" applyAlignment="1">
      <alignment horizontal="left" vertical="center"/>
    </xf>
    <xf numFmtId="41" fontId="98" fillId="0" borderId="0" xfId="29" applyFont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41" fontId="160" fillId="0" borderId="22" xfId="29" applyFont="1" applyFill="1" applyBorder="1" applyAlignment="1">
      <alignment horizontal="left" vertical="center" shrinkToFit="1"/>
    </xf>
    <xf numFmtId="0" fontId="51" fillId="0" borderId="5" xfId="49" applyFont="1" applyBorder="1" applyAlignment="1">
      <alignment horizontal="center"/>
    </xf>
    <xf numFmtId="0" fontId="51" fillId="0" borderId="56" xfId="49" applyFont="1" applyBorder="1" applyAlignment="1">
      <alignment horizontal="center"/>
    </xf>
    <xf numFmtId="0" fontId="51" fillId="0" borderId="0" xfId="49" applyFont="1" applyAlignment="1">
      <alignment horizontal="center"/>
    </xf>
    <xf numFmtId="0" fontId="51" fillId="0" borderId="57" xfId="49" applyFont="1" applyBorder="1" applyAlignment="1">
      <alignment horizontal="center"/>
    </xf>
    <xf numFmtId="0" fontId="52" fillId="0" borderId="0" xfId="49" applyFont="1" applyAlignment="1">
      <alignment horizontal="distributed" vertical="center"/>
    </xf>
    <xf numFmtId="0" fontId="54" fillId="0" borderId="0" xfId="49" applyFont="1" applyAlignment="1">
      <alignment horizontal="center"/>
    </xf>
    <xf numFmtId="0" fontId="51" fillId="0" borderId="0" xfId="49" applyFont="1" applyAlignment="1">
      <alignment horizontal="right" vertical="center"/>
    </xf>
    <xf numFmtId="0" fontId="51" fillId="0" borderId="0" xfId="49" applyFont="1" applyAlignment="1">
      <alignment horizontal="distributed" vertical="center"/>
    </xf>
    <xf numFmtId="0" fontId="57" fillId="0" borderId="0" xfId="53" applyFont="1">
      <alignment horizontal="center" vertical="center"/>
    </xf>
    <xf numFmtId="0" fontId="0" fillId="0" borderId="0" xfId="0" applyAlignment="1">
      <alignment vertical="center"/>
    </xf>
    <xf numFmtId="0" fontId="58" fillId="0" borderId="0" xfId="53" applyFont="1" applyAlignment="1">
      <alignment vertical="center" wrapText="1"/>
    </xf>
    <xf numFmtId="0" fontId="33" fillId="6" borderId="3" xfId="0" applyFont="1" applyFill="1" applyBorder="1" applyAlignment="1">
      <alignment horizontal="distributed" vertical="center" indent="1"/>
    </xf>
    <xf numFmtId="0" fontId="33" fillId="6" borderId="17" xfId="0" applyFont="1" applyFill="1" applyBorder="1" applyAlignment="1">
      <alignment horizontal="distributed" vertical="center" indent="1"/>
    </xf>
    <xf numFmtId="0" fontId="33" fillId="6" borderId="16" xfId="0" applyFont="1" applyFill="1" applyBorder="1" applyAlignment="1">
      <alignment horizontal="distributed" vertical="center" indent="1"/>
    </xf>
    <xf numFmtId="0" fontId="33" fillId="6" borderId="16" xfId="0" applyFont="1" applyFill="1" applyBorder="1" applyAlignment="1">
      <alignment horizontal="distributed" vertical="center" wrapText="1" indent="1"/>
    </xf>
    <xf numFmtId="0" fontId="33" fillId="6" borderId="3" xfId="0" applyFont="1" applyFill="1" applyBorder="1" applyAlignment="1">
      <alignment horizontal="distributed" vertical="center" wrapText="1" indent="1"/>
    </xf>
    <xf numFmtId="0" fontId="33" fillId="6" borderId="17" xfId="0" applyFont="1" applyFill="1" applyBorder="1" applyAlignment="1">
      <alignment horizontal="distributed" vertical="center" wrapText="1" indent="1"/>
    </xf>
    <xf numFmtId="0" fontId="33" fillId="6" borderId="16" xfId="0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33" fillId="6" borderId="17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distributed" vertical="center" textRotation="255"/>
    </xf>
    <xf numFmtId="0" fontId="33" fillId="2" borderId="22" xfId="0" applyFont="1" applyFill="1" applyBorder="1" applyAlignment="1">
      <alignment horizontal="distributed" vertical="center" textRotation="255"/>
    </xf>
    <xf numFmtId="0" fontId="33" fillId="2" borderId="21" xfId="0" applyFont="1" applyFill="1" applyBorder="1" applyAlignment="1">
      <alignment horizontal="distributed" vertical="center" textRotation="255"/>
    </xf>
    <xf numFmtId="0" fontId="33" fillId="2" borderId="9" xfId="0" applyFont="1" applyFill="1" applyBorder="1" applyAlignment="1">
      <alignment horizontal="center" vertical="center" textRotation="255" wrapText="1"/>
    </xf>
    <xf numFmtId="0" fontId="33" fillId="2" borderId="13" xfId="0" applyFont="1" applyFill="1" applyBorder="1" applyAlignment="1">
      <alignment horizontal="center" vertical="center" textRotation="255" wrapText="1"/>
    </xf>
    <xf numFmtId="0" fontId="33" fillId="2" borderId="11" xfId="0" applyFont="1" applyFill="1" applyBorder="1" applyAlignment="1">
      <alignment horizontal="center" vertical="center" textRotation="255" wrapText="1"/>
    </xf>
    <xf numFmtId="0" fontId="33" fillId="6" borderId="14" xfId="0" applyFont="1" applyFill="1" applyBorder="1" applyAlignment="1">
      <alignment horizontal="center" vertical="center" textRotation="255"/>
    </xf>
    <xf numFmtId="0" fontId="33" fillId="6" borderId="20" xfId="0" applyFont="1" applyFill="1" applyBorder="1" applyAlignment="1">
      <alignment horizontal="center" vertical="center" textRotation="255"/>
    </xf>
    <xf numFmtId="0" fontId="33" fillId="6" borderId="18" xfId="0" applyFont="1" applyFill="1" applyBorder="1" applyAlignment="1">
      <alignment horizontal="center" vertical="center" textRotation="255"/>
    </xf>
    <xf numFmtId="0" fontId="33" fillId="6" borderId="9" xfId="0" applyFont="1" applyFill="1" applyBorder="1" applyAlignment="1">
      <alignment horizontal="center" vertical="center" wrapText="1"/>
    </xf>
    <xf numFmtId="0" fontId="33" fillId="2" borderId="13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textRotation="255"/>
    </xf>
    <xf numFmtId="0" fontId="33" fillId="6" borderId="13" xfId="0" applyFont="1" applyFill="1" applyBorder="1" applyAlignment="1">
      <alignment horizontal="center" vertical="center" textRotation="255"/>
    </xf>
    <xf numFmtId="0" fontId="33" fillId="6" borderId="11" xfId="0" applyFont="1" applyFill="1" applyBorder="1" applyAlignment="1">
      <alignment horizontal="center" vertical="center" textRotation="255"/>
    </xf>
    <xf numFmtId="0" fontId="33" fillId="6" borderId="9" xfId="0" applyFont="1" applyFill="1" applyBorder="1" applyAlignment="1">
      <alignment horizontal="center" vertical="center" textRotation="255" wrapText="1"/>
    </xf>
    <xf numFmtId="0" fontId="33" fillId="6" borderId="13" xfId="0" applyFont="1" applyFill="1" applyBorder="1" applyAlignment="1">
      <alignment horizontal="center" vertical="center" wrapText="1"/>
    </xf>
    <xf numFmtId="0" fontId="62" fillId="0" borderId="0" xfId="49" applyFont="1" applyAlignment="1">
      <alignment horizontal="distributed" vertical="center" indent="15"/>
    </xf>
    <xf numFmtId="183" fontId="33" fillId="0" borderId="4" xfId="31" applyNumberFormat="1" applyFont="1" applyFill="1" applyBorder="1" applyAlignment="1">
      <alignment horizontal="center" vertical="center"/>
    </xf>
    <xf numFmtId="0" fontId="33" fillId="2" borderId="16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17" xfId="0" applyFont="1" applyFill="1" applyBorder="1" applyAlignment="1">
      <alignment horizontal="center" vertical="center"/>
    </xf>
    <xf numFmtId="0" fontId="65" fillId="0" borderId="0" xfId="76" applyFont="1" applyAlignment="1">
      <alignment horizontal="center" vertical="center"/>
    </xf>
    <xf numFmtId="0" fontId="65" fillId="0" borderId="5" xfId="76" applyFont="1" applyBorder="1" applyAlignment="1">
      <alignment horizontal="center" vertical="center"/>
    </xf>
    <xf numFmtId="0" fontId="66" fillId="0" borderId="60" xfId="49" applyFont="1" applyBorder="1" applyAlignment="1">
      <alignment horizontal="distributed" vertical="center" indent="1"/>
    </xf>
    <xf numFmtId="0" fontId="66" fillId="0" borderId="61" xfId="49" applyFont="1" applyBorder="1" applyAlignment="1">
      <alignment horizontal="distributed" vertical="center" indent="1"/>
    </xf>
    <xf numFmtId="0" fontId="66" fillId="0" borderId="62" xfId="49" applyFont="1" applyBorder="1" applyAlignment="1">
      <alignment horizontal="distributed" vertical="center" indent="1"/>
    </xf>
    <xf numFmtId="0" fontId="66" fillId="0" borderId="63" xfId="49" applyFont="1" applyBorder="1" applyAlignment="1">
      <alignment horizontal="distributed" vertical="center" indent="1"/>
    </xf>
    <xf numFmtId="0" fontId="66" fillId="0" borderId="14" xfId="49" applyFont="1" applyBorder="1" applyAlignment="1">
      <alignment horizontal="center" vertical="center"/>
    </xf>
    <xf numFmtId="0" fontId="66" fillId="0" borderId="15" xfId="49" applyFont="1" applyBorder="1" applyAlignment="1">
      <alignment horizontal="center" vertical="center"/>
    </xf>
    <xf numFmtId="0" fontId="66" fillId="0" borderId="12" xfId="49" applyFont="1" applyBorder="1" applyAlignment="1">
      <alignment horizontal="center" vertical="center"/>
    </xf>
    <xf numFmtId="0" fontId="66" fillId="0" borderId="18" xfId="49" applyFont="1" applyBorder="1" applyAlignment="1">
      <alignment horizontal="center" vertical="center"/>
    </xf>
    <xf numFmtId="0" fontId="66" fillId="0" borderId="19" xfId="49" applyFont="1" applyBorder="1" applyAlignment="1">
      <alignment horizontal="center" vertical="center"/>
    </xf>
    <xf numFmtId="0" fontId="66" fillId="0" borderId="21" xfId="49" applyFont="1" applyBorder="1" applyAlignment="1">
      <alignment horizontal="center" vertical="center"/>
    </xf>
    <xf numFmtId="0" fontId="66" fillId="0" borderId="64" xfId="49" applyFont="1" applyBorder="1" applyAlignment="1">
      <alignment horizontal="center" vertical="center"/>
    </xf>
    <xf numFmtId="0" fontId="66" fillId="0" borderId="66" xfId="49" applyFont="1" applyBorder="1" applyAlignment="1">
      <alignment horizontal="center" vertical="center"/>
    </xf>
    <xf numFmtId="0" fontId="69" fillId="0" borderId="56" xfId="49" applyFont="1" applyBorder="1" applyAlignment="1">
      <alignment horizontal="center" vertical="center"/>
    </xf>
    <xf numFmtId="0" fontId="69" fillId="0" borderId="0" xfId="49" applyFont="1" applyAlignment="1">
      <alignment horizontal="center" vertical="center"/>
    </xf>
    <xf numFmtId="0" fontId="69" fillId="0" borderId="57" xfId="49" applyFont="1" applyBorder="1" applyAlignment="1">
      <alignment horizontal="center" vertical="center"/>
    </xf>
    <xf numFmtId="0" fontId="0" fillId="4" borderId="4" xfId="49" applyFont="1" applyFill="1" applyBorder="1" applyAlignment="1">
      <alignment horizontal="left" vertical="center" indent="1"/>
    </xf>
    <xf numFmtId="0" fontId="2" fillId="4" borderId="4" xfId="49" applyFill="1" applyBorder="1" applyAlignment="1">
      <alignment horizontal="left" vertical="center" indent="1"/>
    </xf>
    <xf numFmtId="199" fontId="70" fillId="0" borderId="0" xfId="49" applyNumberFormat="1" applyFont="1" applyAlignment="1">
      <alignment horizontal="center" vertical="center"/>
    </xf>
    <xf numFmtId="199" fontId="71" fillId="0" borderId="0" xfId="49" applyNumberFormat="1" applyFont="1" applyAlignment="1">
      <alignment horizontal="left" vertical="center"/>
    </xf>
    <xf numFmtId="0" fontId="71" fillId="0" borderId="16" xfId="49" applyFont="1" applyBorder="1" applyAlignment="1">
      <alignment horizontal="center" vertical="center"/>
    </xf>
    <xf numFmtId="0" fontId="71" fillId="0" borderId="3" xfId="49" applyFont="1" applyBorder="1" applyAlignment="1">
      <alignment horizontal="center" vertical="center"/>
    </xf>
    <xf numFmtId="0" fontId="71" fillId="0" borderId="17" xfId="49" applyFont="1" applyBorder="1" applyAlignment="1">
      <alignment horizontal="center" vertical="center"/>
    </xf>
    <xf numFmtId="0" fontId="2" fillId="0" borderId="16" xfId="49" applyBorder="1" applyAlignment="1">
      <alignment horizontal="center" vertical="center"/>
    </xf>
    <xf numFmtId="0" fontId="2" fillId="0" borderId="3" xfId="49" applyBorder="1" applyAlignment="1">
      <alignment horizontal="center" vertical="center"/>
    </xf>
    <xf numFmtId="0" fontId="2" fillId="0" borderId="17" xfId="49" applyBorder="1" applyAlignment="1">
      <alignment horizontal="center" vertical="center"/>
    </xf>
    <xf numFmtId="199" fontId="71" fillId="0" borderId="5" xfId="49" applyNumberFormat="1" applyFont="1" applyBorder="1" applyAlignment="1">
      <alignment horizontal="left" vertical="center"/>
    </xf>
    <xf numFmtId="183" fontId="33" fillId="0" borderId="9" xfId="82" applyNumberFormat="1" applyFont="1" applyFill="1" applyBorder="1" applyAlignment="1">
      <alignment horizontal="center" vertical="center"/>
    </xf>
    <xf numFmtId="183" fontId="33" fillId="0" borderId="11" xfId="82" applyNumberFormat="1" applyFont="1" applyFill="1" applyBorder="1" applyAlignment="1">
      <alignment horizontal="center" vertical="center"/>
    </xf>
    <xf numFmtId="183" fontId="33" fillId="0" borderId="9" xfId="82" applyNumberFormat="1" applyFont="1" applyFill="1" applyBorder="1" applyAlignment="1">
      <alignment horizontal="center" vertical="center" wrapText="1"/>
    </xf>
    <xf numFmtId="183" fontId="33" fillId="0" borderId="13" xfId="82" applyNumberFormat="1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33" fillId="6" borderId="13" xfId="0" applyFont="1" applyFill="1" applyBorder="1" applyAlignment="1">
      <alignment horizontal="center" vertical="center" textRotation="255" wrapText="1"/>
    </xf>
    <xf numFmtId="0" fontId="33" fillId="6" borderId="11" xfId="0" applyFont="1" applyFill="1" applyBorder="1" applyAlignment="1">
      <alignment horizontal="center" vertical="center" textRotation="255" wrapText="1"/>
    </xf>
    <xf numFmtId="0" fontId="33" fillId="6" borderId="13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3" fillId="6" borderId="9" xfId="0" applyFont="1" applyFill="1" applyBorder="1" applyAlignment="1">
      <alignment horizontal="center" vertical="center" textRotation="255"/>
    </xf>
    <xf numFmtId="0" fontId="33" fillId="6" borderId="12" xfId="0" applyFont="1" applyFill="1" applyBorder="1" applyAlignment="1">
      <alignment horizontal="distributed" vertical="center" textRotation="255"/>
    </xf>
    <xf numFmtId="0" fontId="33" fillId="6" borderId="22" xfId="0" applyFont="1" applyFill="1" applyBorder="1" applyAlignment="1">
      <alignment horizontal="distributed" vertical="center" textRotation="255"/>
    </xf>
    <xf numFmtId="0" fontId="33" fillId="6" borderId="21" xfId="0" applyFont="1" applyFill="1" applyBorder="1" applyAlignment="1">
      <alignment horizontal="distributed" vertical="center" textRotation="255"/>
    </xf>
    <xf numFmtId="0" fontId="33" fillId="0" borderId="9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9" xfId="29" applyNumberFormat="1" applyFont="1" applyFill="1" applyBorder="1" applyAlignment="1">
      <alignment horizontal="center" vertical="center"/>
    </xf>
    <xf numFmtId="0" fontId="33" fillId="0" borderId="11" xfId="29" applyNumberFormat="1" applyFont="1" applyFill="1" applyBorder="1" applyAlignment="1">
      <alignment horizontal="center" vertical="center"/>
    </xf>
    <xf numFmtId="0" fontId="33" fillId="0" borderId="9" xfId="29" applyNumberFormat="1" applyFont="1" applyFill="1" applyBorder="1" applyAlignment="1">
      <alignment horizontal="center" vertical="center" wrapText="1"/>
    </xf>
    <xf numFmtId="0" fontId="33" fillId="0" borderId="11" xfId="29" applyNumberFormat="1" applyFont="1" applyFill="1" applyBorder="1" applyAlignment="1">
      <alignment horizontal="center" vertical="center" wrapText="1"/>
    </xf>
    <xf numFmtId="183" fontId="33" fillId="0" borderId="9" xfId="29" applyNumberFormat="1" applyFont="1" applyFill="1" applyBorder="1" applyAlignment="1">
      <alignment horizontal="center" vertical="center"/>
    </xf>
    <xf numFmtId="183" fontId="33" fillId="0" borderId="13" xfId="29" applyNumberFormat="1" applyFont="1" applyFill="1" applyBorder="1" applyAlignment="1">
      <alignment horizontal="center" vertical="center"/>
    </xf>
    <xf numFmtId="183" fontId="33" fillId="0" borderId="14" xfId="29" applyNumberFormat="1" applyFont="1" applyFill="1" applyBorder="1" applyAlignment="1">
      <alignment horizontal="center" vertical="center"/>
    </xf>
    <xf numFmtId="183" fontId="33" fillId="0" borderId="18" xfId="29" applyNumberFormat="1" applyFont="1" applyFill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49" fontId="33" fillId="0" borderId="16" xfId="29" applyNumberFormat="1" applyFont="1" applyFill="1" applyBorder="1" applyAlignment="1">
      <alignment horizontal="center" vertical="center"/>
    </xf>
    <xf numFmtId="49" fontId="33" fillId="0" borderId="17" xfId="29" applyNumberFormat="1" applyFont="1" applyFill="1" applyBorder="1" applyAlignment="1">
      <alignment horizontal="center" vertical="center"/>
    </xf>
    <xf numFmtId="0" fontId="33" fillId="0" borderId="16" xfId="0" applyFont="1" applyBorder="1" applyAlignment="1">
      <alignment horizontal="distributed" vertical="center" indent="2"/>
    </xf>
    <xf numFmtId="0" fontId="33" fillId="0" borderId="3" xfId="0" applyFont="1" applyBorder="1" applyAlignment="1">
      <alignment horizontal="distributed" vertical="center" indent="2"/>
    </xf>
    <xf numFmtId="0" fontId="33" fillId="0" borderId="17" xfId="0" applyFont="1" applyBorder="1" applyAlignment="1">
      <alignment horizontal="distributed" vertical="center" indent="2"/>
    </xf>
    <xf numFmtId="0" fontId="33" fillId="0" borderId="13" xfId="0" applyFont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3" fontId="33" fillId="2" borderId="9" xfId="0" applyNumberFormat="1" applyFont="1" applyFill="1" applyBorder="1" applyAlignment="1">
      <alignment horizontal="center" vertical="center" wrapText="1"/>
    </xf>
    <xf numFmtId="3" fontId="33" fillId="2" borderId="11" xfId="0" applyNumberFormat="1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distributed" vertical="center" wrapText="1"/>
    </xf>
    <xf numFmtId="0" fontId="33" fillId="2" borderId="19" xfId="0" applyFont="1" applyFill="1" applyBorder="1" applyAlignment="1">
      <alignment horizontal="distributed" vertical="center" wrapText="1"/>
    </xf>
    <xf numFmtId="0" fontId="33" fillId="0" borderId="14" xfId="0" applyFont="1" applyBorder="1" applyAlignment="1">
      <alignment horizontal="distributed" vertical="center" indent="2"/>
    </xf>
    <xf numFmtId="0" fontId="33" fillId="0" borderId="20" xfId="0" applyFont="1" applyBorder="1" applyAlignment="1">
      <alignment horizontal="distributed" vertical="center" indent="2"/>
    </xf>
    <xf numFmtId="0" fontId="33" fillId="0" borderId="18" xfId="0" applyFont="1" applyBorder="1" applyAlignment="1">
      <alignment horizontal="distributed" vertical="center" indent="2"/>
    </xf>
    <xf numFmtId="0" fontId="33" fillId="0" borderId="16" xfId="0" applyFont="1" applyBorder="1" applyAlignment="1">
      <alignment horizontal="distributed" vertical="center" indent="1"/>
    </xf>
    <xf numFmtId="0" fontId="33" fillId="0" borderId="17" xfId="0" applyFont="1" applyBorder="1" applyAlignment="1">
      <alignment horizontal="distributed" vertical="center" indent="1"/>
    </xf>
    <xf numFmtId="0" fontId="33" fillId="0" borderId="9" xfId="0" applyFont="1" applyBorder="1" applyAlignment="1">
      <alignment horizontal="center" vertical="center" textRotation="255" wrapText="1"/>
    </xf>
    <xf numFmtId="0" fontId="33" fillId="0" borderId="13" xfId="0" applyFont="1" applyBorder="1" applyAlignment="1">
      <alignment horizontal="center" vertical="center" textRotation="255" wrapText="1"/>
    </xf>
    <xf numFmtId="0" fontId="33" fillId="0" borderId="11" xfId="0" applyFont="1" applyBorder="1" applyAlignment="1">
      <alignment horizontal="center" vertical="center" textRotation="255" wrapText="1"/>
    </xf>
    <xf numFmtId="0" fontId="33" fillId="0" borderId="47" xfId="0" applyFont="1" applyBorder="1" applyAlignment="1">
      <alignment horizontal="distributed" vertical="center" indent="2"/>
    </xf>
    <xf numFmtId="0" fontId="33" fillId="0" borderId="48" xfId="0" applyFont="1" applyBorder="1" applyAlignment="1">
      <alignment horizontal="distributed" vertical="center" indent="2"/>
    </xf>
    <xf numFmtId="0" fontId="33" fillId="0" borderId="49" xfId="0" applyFont="1" applyBorder="1" applyAlignment="1">
      <alignment horizontal="distributed" vertical="center" indent="2"/>
    </xf>
    <xf numFmtId="0" fontId="33" fillId="0" borderId="13" xfId="0" applyFont="1" applyBorder="1" applyAlignment="1">
      <alignment horizontal="center" vertical="center" textRotation="255"/>
    </xf>
    <xf numFmtId="0" fontId="33" fillId="0" borderId="11" xfId="0" applyFont="1" applyBorder="1" applyAlignment="1">
      <alignment horizontal="center" vertical="center" textRotation="255"/>
    </xf>
    <xf numFmtId="0" fontId="33" fillId="0" borderId="19" xfId="0" applyFont="1" applyBorder="1" applyAlignment="1">
      <alignment horizontal="distributed" vertical="center" indent="2"/>
    </xf>
    <xf numFmtId="0" fontId="33" fillId="0" borderId="21" xfId="0" applyFont="1" applyBorder="1" applyAlignment="1">
      <alignment horizontal="distributed" vertical="center" indent="2"/>
    </xf>
    <xf numFmtId="0" fontId="36" fillId="0" borderId="50" xfId="0" applyFont="1" applyBorder="1" applyAlignment="1">
      <alignment horizontal="distributed" vertical="center" wrapText="1" indent="2"/>
    </xf>
    <xf numFmtId="0" fontId="36" fillId="0" borderId="51" xfId="0" applyFont="1" applyBorder="1" applyAlignment="1">
      <alignment horizontal="distributed" vertical="center" indent="2"/>
    </xf>
    <xf numFmtId="0" fontId="36" fillId="0" borderId="52" xfId="0" applyFont="1" applyBorder="1" applyAlignment="1">
      <alignment horizontal="distributed" vertical="center" indent="2"/>
    </xf>
    <xf numFmtId="0" fontId="33" fillId="0" borderId="4" xfId="0" applyFont="1" applyBorder="1" applyAlignment="1">
      <alignment horizontal="center" vertical="center"/>
    </xf>
    <xf numFmtId="0" fontId="33" fillId="2" borderId="16" xfId="29" applyNumberFormat="1" applyFont="1" applyFill="1" applyBorder="1" applyAlignment="1">
      <alignment horizontal="center" vertical="center"/>
    </xf>
    <xf numFmtId="0" fontId="33" fillId="2" borderId="3" xfId="29" applyNumberFormat="1" applyFont="1" applyFill="1" applyBorder="1" applyAlignment="1">
      <alignment horizontal="center" vertical="center"/>
    </xf>
    <xf numFmtId="0" fontId="33" fillId="2" borderId="17" xfId="29" applyNumberFormat="1" applyFont="1" applyFill="1" applyBorder="1" applyAlignment="1">
      <alignment horizontal="center" vertical="center"/>
    </xf>
    <xf numFmtId="0" fontId="33" fillId="2" borderId="14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3" fillId="2" borderId="21" xfId="0" applyFont="1" applyFill="1" applyBorder="1" applyAlignment="1">
      <alignment horizontal="center" vertical="center" wrapText="1"/>
    </xf>
    <xf numFmtId="0" fontId="33" fillId="2" borderId="9" xfId="29" applyNumberFormat="1" applyFont="1" applyFill="1" applyBorder="1" applyAlignment="1">
      <alignment horizontal="center" vertical="center" textRotation="255" wrapText="1"/>
    </xf>
    <xf numFmtId="0" fontId="33" fillId="2" borderId="11" xfId="29" applyNumberFormat="1" applyFont="1" applyFill="1" applyBorder="1" applyAlignment="1">
      <alignment horizontal="center" vertical="center" textRotation="255" wrapText="1"/>
    </xf>
    <xf numFmtId="41" fontId="99" fillId="0" borderId="0" xfId="0" applyNumberFormat="1" applyFont="1" applyAlignment="1">
      <alignment horizontal="center" vertical="center"/>
    </xf>
    <xf numFmtId="0" fontId="101" fillId="0" borderId="16" xfId="0" applyFont="1" applyBorder="1" applyAlignment="1">
      <alignment horizontal="center" vertical="center"/>
    </xf>
    <xf numFmtId="0" fontId="101" fillId="0" borderId="17" xfId="0" applyFont="1" applyBorder="1" applyAlignment="1">
      <alignment horizontal="center" vertical="center"/>
    </xf>
    <xf numFmtId="0" fontId="101" fillId="0" borderId="16" xfId="0" applyFont="1" applyBorder="1" applyAlignment="1">
      <alignment horizontal="left" vertical="center" indent="1"/>
    </xf>
    <xf numFmtId="0" fontId="101" fillId="0" borderId="17" xfId="0" applyFont="1" applyBorder="1" applyAlignment="1">
      <alignment horizontal="left" vertical="center" indent="1"/>
    </xf>
    <xf numFmtId="41" fontId="101" fillId="0" borderId="3" xfId="29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41" fontId="101" fillId="0" borderId="0" xfId="29" applyFont="1" applyFill="1" applyBorder="1" applyAlignment="1">
      <alignment horizontal="center" vertical="center"/>
    </xf>
    <xf numFmtId="0" fontId="101" fillId="10" borderId="4" xfId="0" applyFont="1" applyFill="1" applyBorder="1" applyAlignment="1">
      <alignment horizontal="center" vertical="center"/>
    </xf>
    <xf numFmtId="0" fontId="101" fillId="10" borderId="16" xfId="0" applyFont="1" applyFill="1" applyBorder="1" applyAlignment="1">
      <alignment horizontal="center" vertical="center"/>
    </xf>
    <xf numFmtId="0" fontId="101" fillId="10" borderId="3" xfId="0" applyFont="1" applyFill="1" applyBorder="1" applyAlignment="1">
      <alignment horizontal="center" vertical="center"/>
    </xf>
    <xf numFmtId="0" fontId="101" fillId="10" borderId="17" xfId="0" applyFont="1" applyFill="1" applyBorder="1" applyAlignment="1">
      <alignment horizontal="center" vertical="center"/>
    </xf>
    <xf numFmtId="0" fontId="108" fillId="10" borderId="16" xfId="0" applyFont="1" applyFill="1" applyBorder="1" applyAlignment="1">
      <alignment horizontal="center" vertical="center"/>
    </xf>
    <xf numFmtId="0" fontId="108" fillId="10" borderId="17" xfId="0" applyFont="1" applyFill="1" applyBorder="1" applyAlignment="1">
      <alignment horizontal="center" vertical="center"/>
    </xf>
    <xf numFmtId="0" fontId="108" fillId="10" borderId="4" xfId="0" applyFont="1" applyFill="1" applyBorder="1" applyAlignment="1">
      <alignment horizontal="center" vertical="center"/>
    </xf>
    <xf numFmtId="41" fontId="101" fillId="0" borderId="15" xfId="29" applyFont="1" applyFill="1" applyBorder="1" applyAlignment="1">
      <alignment horizontal="right" vertical="center"/>
    </xf>
    <xf numFmtId="41" fontId="101" fillId="0" borderId="0" xfId="29" applyFont="1" applyFill="1" applyBorder="1" applyAlignment="1">
      <alignment horizontal="right" vertical="center"/>
    </xf>
    <xf numFmtId="0" fontId="103" fillId="0" borderId="16" xfId="0" applyFont="1" applyBorder="1" applyAlignment="1">
      <alignment horizontal="center" vertical="center"/>
    </xf>
    <xf numFmtId="0" fontId="103" fillId="0" borderId="17" xfId="0" applyFont="1" applyBorder="1" applyAlignment="1">
      <alignment horizontal="center" vertical="center"/>
    </xf>
    <xf numFmtId="0" fontId="103" fillId="0" borderId="16" xfId="0" applyFont="1" applyBorder="1" applyAlignment="1">
      <alignment horizontal="left" vertical="center" indent="1"/>
    </xf>
    <xf numFmtId="0" fontId="103" fillId="0" borderId="17" xfId="0" applyFont="1" applyBorder="1" applyAlignment="1">
      <alignment horizontal="left" vertical="center" indent="1"/>
    </xf>
    <xf numFmtId="41" fontId="103" fillId="0" borderId="3" xfId="29" applyFont="1" applyFill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2" fillId="10" borderId="16" xfId="0" applyFont="1" applyFill="1" applyBorder="1" applyAlignment="1">
      <alignment horizontal="center" vertical="center"/>
    </xf>
    <xf numFmtId="0" fontId="102" fillId="10" borderId="17" xfId="0" applyFont="1" applyFill="1" applyBorder="1" applyAlignment="1">
      <alignment horizontal="center" vertical="center"/>
    </xf>
    <xf numFmtId="0" fontId="33" fillId="2" borderId="9" xfId="29" applyNumberFormat="1" applyFont="1" applyFill="1" applyBorder="1" applyAlignment="1">
      <alignment horizontal="center" vertical="center" wrapText="1"/>
    </xf>
    <xf numFmtId="0" fontId="33" fillId="2" borderId="13" xfId="29" applyNumberFormat="1" applyFont="1" applyFill="1" applyBorder="1" applyAlignment="1">
      <alignment horizontal="center" vertical="center" wrapText="1"/>
    </xf>
    <xf numFmtId="0" fontId="33" fillId="2" borderId="11" xfId="29" applyNumberFormat="1" applyFont="1" applyFill="1" applyBorder="1" applyAlignment="1">
      <alignment horizontal="center" vertical="center" wrapText="1"/>
    </xf>
    <xf numFmtId="0" fontId="87" fillId="0" borderId="71" xfId="0" applyFont="1" applyBorder="1" applyAlignment="1">
      <alignment horizontal="justify" vertical="center" wrapText="1"/>
    </xf>
    <xf numFmtId="0" fontId="87" fillId="0" borderId="94" xfId="0" applyFont="1" applyBorder="1" applyAlignment="1">
      <alignment horizontal="justify" vertical="center" wrapText="1"/>
    </xf>
    <xf numFmtId="0" fontId="87" fillId="0" borderId="74" xfId="0" applyFont="1" applyBorder="1" applyAlignment="1">
      <alignment horizontal="justify" vertical="center" wrapText="1"/>
    </xf>
    <xf numFmtId="0" fontId="85" fillId="0" borderId="69" xfId="0" applyFont="1" applyBorder="1" applyAlignment="1">
      <alignment horizontal="center" vertical="center" wrapText="1"/>
    </xf>
    <xf numFmtId="0" fontId="85" fillId="0" borderId="79" xfId="0" applyFont="1" applyBorder="1" applyAlignment="1">
      <alignment horizontal="center" vertical="center" wrapText="1"/>
    </xf>
    <xf numFmtId="0" fontId="85" fillId="0" borderId="80" xfId="0" applyFont="1" applyBorder="1" applyAlignment="1">
      <alignment horizontal="center" vertical="center" wrapText="1"/>
    </xf>
    <xf numFmtId="0" fontId="86" fillId="0" borderId="70" xfId="0" applyFont="1" applyBorder="1" applyAlignment="1">
      <alignment horizontal="justify" vertical="center" wrapText="1"/>
    </xf>
    <xf numFmtId="0" fontId="86" fillId="0" borderId="0" xfId="0" applyFont="1" applyAlignment="1">
      <alignment horizontal="justify" vertical="center" wrapText="1"/>
    </xf>
    <xf numFmtId="0" fontId="86" fillId="0" borderId="81" xfId="0" applyFont="1" applyBorder="1" applyAlignment="1">
      <alignment horizontal="justify" vertical="center" wrapText="1"/>
    </xf>
    <xf numFmtId="31" fontId="86" fillId="0" borderId="70" xfId="0" applyNumberFormat="1" applyFont="1" applyBorder="1" applyAlignment="1">
      <alignment horizontal="right" vertical="center" wrapText="1"/>
    </xf>
    <xf numFmtId="31" fontId="86" fillId="0" borderId="0" xfId="0" applyNumberFormat="1" applyFont="1" applyAlignment="1">
      <alignment horizontal="right" vertical="center" wrapText="1"/>
    </xf>
    <xf numFmtId="31" fontId="86" fillId="0" borderId="81" xfId="0" applyNumberFormat="1" applyFont="1" applyBorder="1" applyAlignment="1">
      <alignment horizontal="right" vertical="center" wrapText="1"/>
    </xf>
    <xf numFmtId="0" fontId="86" fillId="0" borderId="70" xfId="0" applyFont="1" applyBorder="1" applyAlignment="1">
      <alignment horizontal="right" vertical="center" wrapText="1"/>
    </xf>
    <xf numFmtId="0" fontId="86" fillId="0" borderId="0" xfId="0" applyFont="1" applyAlignment="1">
      <alignment horizontal="right" vertical="center" wrapText="1"/>
    </xf>
    <xf numFmtId="0" fontId="86" fillId="0" borderId="81" xfId="0" applyFont="1" applyBorder="1" applyAlignment="1">
      <alignment horizontal="right" vertical="center" wrapText="1"/>
    </xf>
    <xf numFmtId="0" fontId="89" fillId="0" borderId="70" xfId="0" applyFont="1" applyBorder="1" applyAlignment="1">
      <alignment horizontal="justify" vertical="center" wrapText="1"/>
    </xf>
    <xf numFmtId="0" fontId="89" fillId="0" borderId="0" xfId="0" applyFont="1" applyAlignment="1">
      <alignment horizontal="justify" vertical="center" wrapText="1"/>
    </xf>
    <xf numFmtId="0" fontId="89" fillId="0" borderId="81" xfId="0" applyFont="1" applyBorder="1" applyAlignment="1">
      <alignment horizontal="justify" vertical="center" wrapText="1"/>
    </xf>
    <xf numFmtId="0" fontId="89" fillId="0" borderId="95" xfId="0" applyFont="1" applyBorder="1" applyAlignment="1">
      <alignment horizontal="right" vertical="center" wrapText="1"/>
    </xf>
    <xf numFmtId="0" fontId="89" fillId="0" borderId="96" xfId="0" applyFont="1" applyBorder="1" applyAlignment="1">
      <alignment horizontal="right" vertical="center" wrapText="1"/>
    </xf>
    <xf numFmtId="0" fontId="89" fillId="0" borderId="97" xfId="0" applyFont="1" applyBorder="1" applyAlignment="1">
      <alignment horizontal="right" vertical="center" wrapText="1"/>
    </xf>
    <xf numFmtId="0" fontId="87" fillId="0" borderId="98" xfId="0" applyFont="1" applyBorder="1" applyAlignment="1">
      <alignment horizontal="right" vertical="center" wrapText="1"/>
    </xf>
    <xf numFmtId="0" fontId="87" fillId="0" borderId="99" xfId="0" applyFont="1" applyBorder="1" applyAlignment="1">
      <alignment horizontal="right" vertical="center" wrapText="1"/>
    </xf>
    <xf numFmtId="0" fontId="87" fillId="0" borderId="100" xfId="0" applyFont="1" applyBorder="1" applyAlignment="1">
      <alignment horizontal="right" vertical="center" wrapText="1"/>
    </xf>
    <xf numFmtId="0" fontId="89" fillId="0" borderId="70" xfId="0" applyFont="1" applyBorder="1" applyAlignment="1">
      <alignment horizontal="left" vertical="center" wrapText="1" indent="1"/>
    </xf>
    <xf numFmtId="0" fontId="89" fillId="0" borderId="0" xfId="0" applyFont="1" applyAlignment="1">
      <alignment horizontal="left" vertical="center" wrapText="1" indent="1"/>
    </xf>
    <xf numFmtId="0" fontId="89" fillId="0" borderId="81" xfId="0" applyFont="1" applyBorder="1" applyAlignment="1">
      <alignment horizontal="left" vertical="center" wrapText="1" indent="1"/>
    </xf>
    <xf numFmtId="0" fontId="87" fillId="0" borderId="70" xfId="0" applyFont="1" applyBorder="1" applyAlignment="1">
      <alignment horizontal="left" vertical="center" wrapText="1" indent="1"/>
    </xf>
    <xf numFmtId="0" fontId="87" fillId="0" borderId="0" xfId="0" applyFont="1" applyAlignment="1">
      <alignment horizontal="left" vertical="center" wrapText="1" indent="1"/>
    </xf>
    <xf numFmtId="0" fontId="87" fillId="0" borderId="81" xfId="0" applyFont="1" applyBorder="1" applyAlignment="1">
      <alignment horizontal="left" vertical="center" wrapText="1" indent="1"/>
    </xf>
    <xf numFmtId="0" fontId="89" fillId="0" borderId="70" xfId="0" applyFont="1" applyBorder="1" applyAlignment="1">
      <alignment horizontal="left" vertical="center" wrapText="1" indent="2"/>
    </xf>
    <xf numFmtId="0" fontId="89" fillId="0" borderId="0" xfId="0" applyFont="1" applyAlignment="1">
      <alignment horizontal="left" vertical="center" wrapText="1" indent="2"/>
    </xf>
    <xf numFmtId="0" fontId="89" fillId="0" borderId="81" xfId="0" applyFont="1" applyBorder="1" applyAlignment="1">
      <alignment horizontal="left" vertical="center" wrapText="1" indent="2"/>
    </xf>
    <xf numFmtId="0" fontId="33" fillId="2" borderId="0" xfId="0" applyFont="1" applyFill="1" applyAlignment="1">
      <alignment horizontal="center" vertical="center"/>
    </xf>
    <xf numFmtId="49" fontId="33" fillId="0" borderId="14" xfId="0" applyNumberFormat="1" applyFont="1" applyBorder="1" applyAlignment="1">
      <alignment horizontal="center" vertical="center" wrapText="1"/>
    </xf>
    <xf numFmtId="49" fontId="33" fillId="0" borderId="18" xfId="0" applyNumberFormat="1" applyFont="1" applyBorder="1" applyAlignment="1">
      <alignment horizontal="center" vertical="center" wrapText="1"/>
    </xf>
    <xf numFmtId="49" fontId="33" fillId="0" borderId="15" xfId="0" applyNumberFormat="1" applyFont="1" applyBorder="1" applyAlignment="1">
      <alignment horizontal="center" vertical="center" wrapText="1"/>
    </xf>
    <xf numFmtId="49" fontId="33" fillId="0" borderId="19" xfId="0" applyNumberFormat="1" applyFont="1" applyBorder="1" applyAlignment="1">
      <alignment horizontal="center" vertical="center" wrapText="1"/>
    </xf>
    <xf numFmtId="49" fontId="33" fillId="2" borderId="12" xfId="0" applyNumberFormat="1" applyFont="1" applyFill="1" applyBorder="1" applyAlignment="1">
      <alignment horizontal="center" vertical="center" wrapText="1"/>
    </xf>
    <xf numFmtId="49" fontId="33" fillId="2" borderId="21" xfId="0" applyNumberFormat="1" applyFont="1" applyFill="1" applyBorder="1" applyAlignment="1">
      <alignment horizontal="center" vertical="center" wrapText="1"/>
    </xf>
    <xf numFmtId="190" fontId="33" fillId="2" borderId="9" xfId="77" applyNumberFormat="1" applyFont="1" applyFill="1" applyBorder="1" applyAlignment="1">
      <alignment horizontal="center" vertical="center"/>
    </xf>
    <xf numFmtId="190" fontId="33" fillId="2" borderId="11" xfId="77" applyNumberFormat="1" applyFont="1" applyFill="1" applyBorder="1" applyAlignment="1">
      <alignment horizontal="center" vertical="center"/>
    </xf>
    <xf numFmtId="190" fontId="33" fillId="2" borderId="14" xfId="77" applyNumberFormat="1" applyFont="1" applyFill="1" applyBorder="1" applyAlignment="1">
      <alignment horizontal="center" vertical="center"/>
    </xf>
    <xf numFmtId="190" fontId="33" fillId="2" borderId="18" xfId="77" applyNumberFormat="1" applyFont="1" applyFill="1" applyBorder="1" applyAlignment="1">
      <alignment horizontal="center" vertical="center"/>
    </xf>
    <xf numFmtId="190" fontId="33" fillId="2" borderId="16" xfId="77" applyNumberFormat="1" applyFont="1" applyFill="1" applyBorder="1" applyAlignment="1">
      <alignment horizontal="center" vertical="center"/>
    </xf>
    <xf numFmtId="190" fontId="33" fillId="2" borderId="3" xfId="77" applyNumberFormat="1" applyFont="1" applyFill="1" applyBorder="1" applyAlignment="1">
      <alignment horizontal="center" vertical="center"/>
    </xf>
    <xf numFmtId="190" fontId="33" fillId="2" borderId="17" xfId="77" applyNumberFormat="1" applyFont="1" applyFill="1" applyBorder="1" applyAlignment="1">
      <alignment horizontal="center" vertical="center"/>
    </xf>
    <xf numFmtId="0" fontId="123" fillId="0" borderId="0" xfId="85" applyFont="1" applyAlignment="1">
      <alignment horizontal="left" vertical="center"/>
    </xf>
    <xf numFmtId="0" fontId="126" fillId="16" borderId="176" xfId="85" applyFont="1" applyFill="1" applyBorder="1" applyAlignment="1">
      <alignment horizontal="center" vertical="center"/>
    </xf>
    <xf numFmtId="0" fontId="126" fillId="16" borderId="121" xfId="85" applyFont="1" applyFill="1" applyBorder="1" applyAlignment="1">
      <alignment horizontal="center" vertical="center"/>
    </xf>
    <xf numFmtId="0" fontId="126" fillId="16" borderId="177" xfId="85" applyFont="1" applyFill="1" applyBorder="1" applyAlignment="1">
      <alignment horizontal="center" vertical="center"/>
    </xf>
    <xf numFmtId="0" fontId="126" fillId="16" borderId="123" xfId="85" applyFont="1" applyFill="1" applyBorder="1" applyAlignment="1">
      <alignment horizontal="center" vertical="center"/>
    </xf>
    <xf numFmtId="0" fontId="126" fillId="16" borderId="177" xfId="85" applyFont="1" applyFill="1" applyBorder="1" applyAlignment="1">
      <alignment horizontal="center" vertical="center" wrapText="1"/>
    </xf>
    <xf numFmtId="0" fontId="126" fillId="16" borderId="123" xfId="85" applyFont="1" applyFill="1" applyBorder="1" applyAlignment="1">
      <alignment horizontal="center" vertical="center" wrapText="1"/>
    </xf>
    <xf numFmtId="0" fontId="126" fillId="13" borderId="178" xfId="85" applyFont="1" applyFill="1" applyBorder="1" applyAlignment="1">
      <alignment horizontal="center" vertical="center"/>
    </xf>
    <xf numFmtId="0" fontId="126" fillId="13" borderId="125" xfId="85" applyFont="1" applyFill="1" applyBorder="1" applyAlignment="1">
      <alignment horizontal="center" vertical="center"/>
    </xf>
    <xf numFmtId="0" fontId="119" fillId="16" borderId="180" xfId="85" applyFont="1" applyFill="1" applyBorder="1" applyAlignment="1">
      <alignment horizontal="center" vertical="center"/>
    </xf>
    <xf numFmtId="0" fontId="119" fillId="16" borderId="187" xfId="85" applyFont="1" applyFill="1" applyBorder="1" applyAlignment="1">
      <alignment horizontal="center" vertical="center"/>
    </xf>
    <xf numFmtId="0" fontId="116" fillId="0" borderId="189" xfId="85" applyFont="1" applyBorder="1" applyAlignment="1">
      <alignment horizontal="center" vertical="center" wrapText="1"/>
    </xf>
    <xf numFmtId="0" fontId="116" fillId="0" borderId="118" xfId="85" applyFont="1" applyBorder="1" applyAlignment="1">
      <alignment horizontal="center" vertical="center" wrapText="1"/>
    </xf>
    <xf numFmtId="0" fontId="150" fillId="0" borderId="189" xfId="85" applyFont="1" applyBorder="1" applyAlignment="1">
      <alignment horizontal="center" vertical="center" wrapText="1"/>
    </xf>
    <xf numFmtId="0" fontId="150" fillId="0" borderId="118" xfId="85" applyFont="1" applyBorder="1" applyAlignment="1">
      <alignment horizontal="center" vertical="center" wrapText="1"/>
    </xf>
    <xf numFmtId="0" fontId="119" fillId="0" borderId="183" xfId="85" applyFont="1" applyBorder="1">
      <alignment vertical="center"/>
    </xf>
    <xf numFmtId="0" fontId="119" fillId="0" borderId="35" xfId="85" applyFont="1" applyBorder="1">
      <alignment vertical="center"/>
    </xf>
    <xf numFmtId="0" fontId="119" fillId="0" borderId="183" xfId="85" applyFont="1" applyBorder="1" applyAlignment="1">
      <alignment vertical="center" wrapText="1"/>
    </xf>
    <xf numFmtId="0" fontId="119" fillId="0" borderId="35" xfId="85" applyFont="1" applyBorder="1" applyAlignment="1">
      <alignment vertical="center" wrapText="1"/>
    </xf>
    <xf numFmtId="0" fontId="119" fillId="0" borderId="128" xfId="85" applyFont="1" applyBorder="1" applyAlignment="1">
      <alignment vertical="center" wrapText="1"/>
    </xf>
    <xf numFmtId="0" fontId="119" fillId="16" borderId="176" xfId="85" applyFont="1" applyFill="1" applyBorder="1" applyAlignment="1">
      <alignment horizontal="center" vertical="center"/>
    </xf>
    <xf numFmtId="0" fontId="119" fillId="16" borderId="116" xfId="85" applyFont="1" applyFill="1" applyBorder="1" applyAlignment="1">
      <alignment horizontal="center" vertical="center"/>
    </xf>
    <xf numFmtId="0" fontId="119" fillId="16" borderId="191" xfId="85" applyFont="1" applyFill="1" applyBorder="1" applyAlignment="1">
      <alignment horizontal="center" vertical="center"/>
    </xf>
    <xf numFmtId="0" fontId="116" fillId="0" borderId="177" xfId="85" applyFont="1" applyBorder="1" applyAlignment="1">
      <alignment horizontal="center" vertical="center" wrapText="1"/>
    </xf>
    <xf numFmtId="0" fontId="116" fillId="0" borderId="192" xfId="85" applyFont="1" applyBorder="1" applyAlignment="1">
      <alignment horizontal="center" vertical="center" wrapText="1"/>
    </xf>
    <xf numFmtId="0" fontId="150" fillId="0" borderId="177" xfId="85" applyFont="1" applyBorder="1" applyAlignment="1">
      <alignment horizontal="center" vertical="center" wrapText="1"/>
    </xf>
    <xf numFmtId="0" fontId="150" fillId="0" borderId="192" xfId="85" applyFont="1" applyBorder="1" applyAlignment="1">
      <alignment horizontal="center" vertical="center" wrapText="1"/>
    </xf>
    <xf numFmtId="0" fontId="119" fillId="0" borderId="128" xfId="85" applyFont="1" applyBorder="1">
      <alignment vertical="center"/>
    </xf>
    <xf numFmtId="0" fontId="119" fillId="16" borderId="121" xfId="85" applyFont="1" applyFill="1" applyBorder="1" applyAlignment="1">
      <alignment horizontal="center" vertical="center"/>
    </xf>
    <xf numFmtId="0" fontId="116" fillId="0" borderId="123" xfId="85" applyFont="1" applyBorder="1" applyAlignment="1">
      <alignment horizontal="center" vertical="center" wrapText="1"/>
    </xf>
    <xf numFmtId="0" fontId="150" fillId="0" borderId="123" xfId="85" applyFont="1" applyBorder="1" applyAlignment="1">
      <alignment horizontal="center" vertical="center" wrapText="1"/>
    </xf>
    <xf numFmtId="0" fontId="119" fillId="0" borderId="183" xfId="85" applyFont="1" applyBorder="1" applyAlignment="1">
      <alignment horizontal="center" vertical="center"/>
    </xf>
    <xf numFmtId="0" fontId="119" fillId="0" borderId="35" xfId="85" applyFont="1" applyBorder="1" applyAlignment="1">
      <alignment horizontal="center" vertical="center"/>
    </xf>
    <xf numFmtId="0" fontId="119" fillId="0" borderId="128" xfId="85" applyFont="1" applyBorder="1" applyAlignment="1">
      <alignment horizontal="center" vertical="center"/>
    </xf>
    <xf numFmtId="0" fontId="116" fillId="0" borderId="182" xfId="85" applyFont="1" applyBorder="1" applyAlignment="1">
      <alignment horizontal="center" vertical="center" wrapText="1"/>
    </xf>
    <xf numFmtId="0" fontId="116" fillId="0" borderId="188" xfId="85" applyFont="1" applyBorder="1" applyAlignment="1">
      <alignment horizontal="center" vertical="center" wrapText="1"/>
    </xf>
    <xf numFmtId="0" fontId="150" fillId="0" borderId="182" xfId="85" applyFont="1" applyBorder="1" applyAlignment="1">
      <alignment horizontal="center" vertical="center" wrapText="1"/>
    </xf>
    <xf numFmtId="0" fontId="150" fillId="0" borderId="188" xfId="85" applyFont="1" applyBorder="1" applyAlignment="1">
      <alignment horizontal="center" vertical="center" wrapText="1"/>
    </xf>
    <xf numFmtId="0" fontId="126" fillId="16" borderId="16" xfId="85" applyFont="1" applyFill="1" applyBorder="1" applyAlignment="1">
      <alignment horizontal="center" vertical="center"/>
    </xf>
    <xf numFmtId="0" fontId="126" fillId="16" borderId="3" xfId="85" applyFont="1" applyFill="1" applyBorder="1" applyAlignment="1">
      <alignment horizontal="center" vertical="center"/>
    </xf>
    <xf numFmtId="0" fontId="126" fillId="16" borderId="23" xfId="85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16" xfId="74" applyFont="1" applyBorder="1" applyAlignment="1">
      <alignment horizontal="distributed" vertical="center" indent="2"/>
    </xf>
    <xf numFmtId="0" fontId="33" fillId="0" borderId="3" xfId="74" applyFont="1" applyBorder="1" applyAlignment="1">
      <alignment horizontal="distributed" vertical="center" indent="2"/>
    </xf>
    <xf numFmtId="0" fontId="33" fillId="0" borderId="17" xfId="74" applyFont="1" applyBorder="1" applyAlignment="1">
      <alignment horizontal="distributed" vertical="center" indent="2"/>
    </xf>
    <xf numFmtId="0" fontId="33" fillId="0" borderId="14" xfId="75" applyFont="1" applyBorder="1" applyAlignment="1">
      <alignment horizontal="center" vertical="center"/>
    </xf>
    <xf numFmtId="0" fontId="33" fillId="0" borderId="15" xfId="75" applyFont="1" applyBorder="1" applyAlignment="1">
      <alignment horizontal="center" vertical="center"/>
    </xf>
    <xf numFmtId="0" fontId="33" fillId="0" borderId="12" xfId="75" applyFont="1" applyBorder="1" applyAlignment="1">
      <alignment horizontal="center" vertical="center"/>
    </xf>
    <xf numFmtId="0" fontId="33" fillId="0" borderId="18" xfId="75" applyFont="1" applyBorder="1" applyAlignment="1">
      <alignment horizontal="center" vertical="center"/>
    </xf>
    <xf numFmtId="0" fontId="33" fillId="0" borderId="19" xfId="75" applyFont="1" applyBorder="1" applyAlignment="1">
      <alignment horizontal="center" vertical="center"/>
    </xf>
    <xf numFmtId="0" fontId="33" fillId="0" borderId="21" xfId="75" applyFont="1" applyBorder="1" applyAlignment="1">
      <alignment horizontal="center" vertical="center"/>
    </xf>
    <xf numFmtId="0" fontId="33" fillId="0" borderId="12" xfId="60" applyFont="1" applyBorder="1" applyAlignment="1">
      <alignment horizontal="center" vertical="center"/>
    </xf>
    <xf numFmtId="0" fontId="33" fillId="0" borderId="21" xfId="60" applyFont="1" applyBorder="1" applyAlignment="1">
      <alignment horizontal="center" vertical="center"/>
    </xf>
    <xf numFmtId="0" fontId="33" fillId="0" borderId="9" xfId="45" applyNumberFormat="1" applyFont="1" applyFill="1" applyBorder="1" applyAlignment="1">
      <alignment horizontal="center" vertical="center" textRotation="255"/>
    </xf>
    <xf numFmtId="0" fontId="33" fillId="0" borderId="13" xfId="45" applyNumberFormat="1" applyFont="1" applyFill="1" applyBorder="1" applyAlignment="1">
      <alignment horizontal="center" vertical="center" textRotation="255"/>
    </xf>
    <xf numFmtId="0" fontId="33" fillId="0" borderId="11" xfId="45" applyNumberFormat="1" applyFont="1" applyFill="1" applyBorder="1" applyAlignment="1">
      <alignment horizontal="center" vertical="center" textRotation="255"/>
    </xf>
    <xf numFmtId="41" fontId="33" fillId="0" borderId="14" xfId="60" applyNumberFormat="1" applyFont="1" applyBorder="1" applyAlignment="1">
      <alignment horizontal="center" vertical="center"/>
    </xf>
    <xf numFmtId="41" fontId="33" fillId="0" borderId="12" xfId="60" applyNumberFormat="1" applyFont="1" applyBorder="1" applyAlignment="1">
      <alignment horizontal="center" vertical="center"/>
    </xf>
    <xf numFmtId="41" fontId="33" fillId="0" borderId="18" xfId="60" applyNumberFormat="1" applyFont="1" applyBorder="1" applyAlignment="1">
      <alignment horizontal="center" vertical="center"/>
    </xf>
    <xf numFmtId="41" fontId="33" fillId="0" borderId="21" xfId="60" applyNumberFormat="1" applyFont="1" applyBorder="1" applyAlignment="1">
      <alignment horizontal="center" vertical="center"/>
    </xf>
    <xf numFmtId="176" fontId="33" fillId="0" borderId="16" xfId="45" applyNumberFormat="1" applyFont="1" applyFill="1" applyBorder="1" applyAlignment="1">
      <alignment horizontal="center" vertical="center"/>
    </xf>
    <xf numFmtId="176" fontId="33" fillId="0" borderId="3" xfId="45" applyNumberFormat="1" applyFont="1" applyFill="1" applyBorder="1" applyAlignment="1">
      <alignment horizontal="center" vertical="center"/>
    </xf>
    <xf numFmtId="176" fontId="33" fillId="0" borderId="17" xfId="45" applyNumberFormat="1" applyFont="1" applyFill="1" applyBorder="1" applyAlignment="1">
      <alignment horizontal="center" vertical="center"/>
    </xf>
    <xf numFmtId="0" fontId="33" fillId="0" borderId="9" xfId="74" applyFont="1" applyBorder="1" applyAlignment="1">
      <alignment horizontal="distributed" vertical="center" textRotation="255"/>
    </xf>
    <xf numFmtId="0" fontId="33" fillId="0" borderId="13" xfId="74" applyFont="1" applyBorder="1" applyAlignment="1">
      <alignment horizontal="distributed" vertical="center" textRotation="255"/>
    </xf>
    <xf numFmtId="0" fontId="33" fillId="0" borderId="11" xfId="74" applyFont="1" applyBorder="1" applyAlignment="1">
      <alignment horizontal="distributed" vertical="center" textRotation="255"/>
    </xf>
    <xf numFmtId="0" fontId="33" fillId="0" borderId="9" xfId="60" applyFont="1" applyBorder="1" applyAlignment="1">
      <alignment horizontal="center" vertical="center"/>
    </xf>
    <xf numFmtId="0" fontId="33" fillId="0" borderId="11" xfId="60" applyFont="1" applyBorder="1" applyAlignment="1">
      <alignment horizontal="center" vertical="center"/>
    </xf>
    <xf numFmtId="41" fontId="33" fillId="0" borderId="16" xfId="29" applyFont="1" applyFill="1" applyBorder="1" applyAlignment="1">
      <alignment horizontal="center" vertical="center"/>
    </xf>
    <xf numFmtId="41" fontId="33" fillId="0" borderId="17" xfId="29" applyFont="1" applyFill="1" applyBorder="1" applyAlignment="1">
      <alignment horizontal="center" vertical="center"/>
    </xf>
    <xf numFmtId="0" fontId="33" fillId="0" borderId="16" xfId="60" applyFont="1" applyBorder="1" applyAlignment="1">
      <alignment horizontal="center" vertical="center" wrapText="1"/>
    </xf>
    <xf numFmtId="0" fontId="33" fillId="0" borderId="3" xfId="60" applyFont="1" applyBorder="1" applyAlignment="1">
      <alignment horizontal="center" vertical="center" wrapText="1"/>
    </xf>
    <xf numFmtId="0" fontId="33" fillId="0" borderId="17" xfId="60" applyFont="1" applyBorder="1" applyAlignment="1">
      <alignment horizontal="center" vertical="center" wrapText="1"/>
    </xf>
    <xf numFmtId="41" fontId="33" fillId="0" borderId="4" xfId="0" applyNumberFormat="1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41" fontId="33" fillId="0" borderId="4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horizontal="distributed" vertical="center"/>
    </xf>
    <xf numFmtId="181" fontId="33" fillId="0" borderId="9" xfId="29" applyNumberFormat="1" applyFont="1" applyFill="1" applyBorder="1" applyAlignment="1">
      <alignment horizontal="left" vertical="center"/>
    </xf>
    <xf numFmtId="181" fontId="33" fillId="0" borderId="11" xfId="29" applyNumberFormat="1" applyFont="1" applyFill="1" applyBorder="1" applyAlignment="1">
      <alignment horizontal="left" vertical="center"/>
    </xf>
    <xf numFmtId="181" fontId="33" fillId="0" borderId="16" xfId="29" applyNumberFormat="1" applyFont="1" applyFill="1" applyBorder="1" applyAlignment="1">
      <alignment horizontal="left" vertical="center"/>
    </xf>
    <xf numFmtId="181" fontId="33" fillId="0" borderId="3" xfId="29" applyNumberFormat="1" applyFont="1" applyFill="1" applyBorder="1" applyAlignment="1">
      <alignment horizontal="left" vertical="center"/>
    </xf>
    <xf numFmtId="181" fontId="33" fillId="0" borderId="17" xfId="29" applyNumberFormat="1" applyFont="1" applyFill="1" applyBorder="1" applyAlignment="1">
      <alignment horizontal="left" vertical="center"/>
    </xf>
    <xf numFmtId="49" fontId="33" fillId="0" borderId="14" xfId="68" applyNumberFormat="1" applyFont="1" applyBorder="1" applyAlignment="1">
      <alignment horizontal="left" vertical="center" wrapText="1"/>
    </xf>
    <xf numFmtId="49" fontId="33" fillId="0" borderId="18" xfId="68" applyNumberFormat="1" applyFont="1" applyBorder="1" applyAlignment="1">
      <alignment horizontal="left" vertical="center" wrapText="1"/>
    </xf>
    <xf numFmtId="49" fontId="33" fillId="2" borderId="16" xfId="29" applyNumberFormat="1" applyFont="1" applyFill="1" applyBorder="1" applyAlignment="1">
      <alignment horizontal="center" vertical="center"/>
    </xf>
    <xf numFmtId="49" fontId="33" fillId="2" borderId="17" xfId="29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distributed" vertical="center"/>
    </xf>
    <xf numFmtId="0" fontId="33" fillId="2" borderId="19" xfId="0" applyFont="1" applyFill="1" applyBorder="1" applyAlignment="1">
      <alignment horizontal="distributed" vertical="center"/>
    </xf>
    <xf numFmtId="179" fontId="33" fillId="0" borderId="9" xfId="29" applyNumberFormat="1" applyFont="1" applyFill="1" applyBorder="1" applyAlignment="1">
      <alignment horizontal="center" vertical="center" wrapText="1"/>
    </xf>
    <xf numFmtId="179" fontId="33" fillId="0" borderId="11" xfId="29" applyNumberFormat="1" applyFont="1" applyFill="1" applyBorder="1" applyAlignment="1">
      <alignment horizontal="center" vertical="center" wrapText="1"/>
    </xf>
    <xf numFmtId="41" fontId="33" fillId="2" borderId="9" xfId="29" applyFont="1" applyFill="1" applyBorder="1" applyAlignment="1">
      <alignment horizontal="center" vertical="center" wrapText="1"/>
    </xf>
    <xf numFmtId="41" fontId="33" fillId="2" borderId="11" xfId="29" applyFont="1" applyFill="1" applyBorder="1" applyAlignment="1">
      <alignment horizontal="center" vertical="center" wrapText="1"/>
    </xf>
    <xf numFmtId="179" fontId="33" fillId="2" borderId="9" xfId="29" applyNumberFormat="1" applyFont="1" applyFill="1" applyBorder="1" applyAlignment="1">
      <alignment horizontal="center" vertical="center" wrapText="1"/>
    </xf>
    <xf numFmtId="179" fontId="33" fillId="2" borderId="11" xfId="29" applyNumberFormat="1" applyFont="1" applyFill="1" applyBorder="1" applyAlignment="1">
      <alignment horizontal="center" vertical="center" wrapText="1"/>
    </xf>
    <xf numFmtId="49" fontId="33" fillId="2" borderId="16" xfId="90" applyNumberFormat="1" applyFont="1" applyFill="1" applyBorder="1" applyAlignment="1">
      <alignment horizontal="center" vertical="center"/>
    </xf>
    <xf numFmtId="49" fontId="33" fillId="2" borderId="17" xfId="90" applyNumberFormat="1" applyFont="1" applyFill="1" applyBorder="1" applyAlignment="1">
      <alignment horizontal="center" vertical="center"/>
    </xf>
    <xf numFmtId="0" fontId="126" fillId="13" borderId="47" xfId="85" applyFont="1" applyFill="1" applyBorder="1" applyAlignment="1">
      <alignment horizontal="center" vertical="center"/>
    </xf>
    <xf numFmtId="0" fontId="126" fillId="13" borderId="102" xfId="85" applyFont="1" applyFill="1" applyBorder="1" applyAlignment="1">
      <alignment horizontal="center" vertical="center"/>
    </xf>
    <xf numFmtId="0" fontId="140" fillId="0" borderId="0" xfId="85" applyFont="1" applyAlignment="1">
      <alignment horizontal="center" vertical="center"/>
    </xf>
    <xf numFmtId="0" fontId="119" fillId="0" borderId="50" xfId="89" applyNumberFormat="1" applyFont="1" applyBorder="1" applyAlignment="1">
      <alignment horizontal="center" vertical="center"/>
    </xf>
    <xf numFmtId="0" fontId="119" fillId="0" borderId="106" xfId="89" applyNumberFormat="1" applyFont="1" applyBorder="1" applyAlignment="1">
      <alignment horizontal="center" vertical="center"/>
    </xf>
    <xf numFmtId="0" fontId="126" fillId="13" borderId="16" xfId="85" applyFont="1" applyFill="1" applyBorder="1" applyAlignment="1">
      <alignment horizontal="center" vertical="center"/>
    </xf>
    <xf numFmtId="0" fontId="126" fillId="13" borderId="3" xfId="85" applyFont="1" applyFill="1" applyBorder="1" applyAlignment="1">
      <alignment horizontal="center" vertical="center"/>
    </xf>
    <xf numFmtId="0" fontId="126" fillId="13" borderId="23" xfId="85" applyFont="1" applyFill="1" applyBorder="1" applyAlignment="1">
      <alignment horizontal="center" vertical="center"/>
    </xf>
    <xf numFmtId="0" fontId="126" fillId="13" borderId="4" xfId="85" applyFont="1" applyFill="1" applyBorder="1" applyAlignment="1">
      <alignment horizontal="center" vertical="center"/>
    </xf>
    <xf numFmtId="0" fontId="126" fillId="13" borderId="25" xfId="85" applyFont="1" applyFill="1" applyBorder="1" applyAlignment="1">
      <alignment horizontal="center" vertical="center"/>
    </xf>
    <xf numFmtId="41" fontId="126" fillId="13" borderId="25" xfId="88" applyFont="1" applyFill="1" applyBorder="1" applyAlignment="1">
      <alignment horizontal="center" vertical="center"/>
    </xf>
    <xf numFmtId="41" fontId="126" fillId="13" borderId="126" xfId="88" applyFont="1" applyFill="1" applyBorder="1" applyAlignment="1">
      <alignment horizontal="center" vertical="center"/>
    </xf>
    <xf numFmtId="41" fontId="126" fillId="13" borderId="17" xfId="88" applyFont="1" applyFill="1" applyBorder="1" applyAlignment="1">
      <alignment horizontal="center" vertical="center"/>
    </xf>
    <xf numFmtId="41" fontId="126" fillId="13" borderId="4" xfId="88" applyFont="1" applyFill="1" applyBorder="1" applyAlignment="1">
      <alignment horizontal="center" vertical="center"/>
    </xf>
    <xf numFmtId="0" fontId="119" fillId="0" borderId="4" xfId="89" applyNumberFormat="1" applyFont="1" applyBorder="1" applyAlignment="1">
      <alignment horizontal="center" vertical="center"/>
    </xf>
    <xf numFmtId="0" fontId="119" fillId="0" borderId="126" xfId="89" applyNumberFormat="1" applyFont="1" applyBorder="1" applyAlignment="1">
      <alignment horizontal="center" vertical="center"/>
    </xf>
    <xf numFmtId="41" fontId="126" fillId="0" borderId="17" xfId="89" applyFont="1" applyBorder="1" applyAlignment="1">
      <alignment horizontal="center" vertical="center"/>
    </xf>
    <xf numFmtId="41" fontId="126" fillId="0" borderId="16" xfId="89" applyFont="1" applyBorder="1" applyAlignment="1">
      <alignment horizontal="center" vertical="center"/>
    </xf>
    <xf numFmtId="41" fontId="119" fillId="0" borderId="25" xfId="89" applyFont="1" applyBorder="1" applyAlignment="1">
      <alignment horizontal="center" vertical="center"/>
    </xf>
    <xf numFmtId="41" fontId="119" fillId="0" borderId="126" xfId="89" applyFont="1" applyBorder="1" applyAlignment="1">
      <alignment horizontal="center" vertical="center"/>
    </xf>
    <xf numFmtId="41" fontId="119" fillId="0" borderId="17" xfId="89" applyFont="1" applyBorder="1" applyAlignment="1">
      <alignment horizontal="center" vertical="center"/>
    </xf>
    <xf numFmtId="41" fontId="119" fillId="0" borderId="4" xfId="89" applyFont="1" applyBorder="1" applyAlignment="1">
      <alignment horizontal="center" vertical="center"/>
    </xf>
    <xf numFmtId="0" fontId="126" fillId="13" borderId="183" xfId="85" applyFont="1" applyFill="1" applyBorder="1" applyAlignment="1">
      <alignment horizontal="center" vertical="center"/>
    </xf>
    <xf numFmtId="0" fontId="126" fillId="13" borderId="186" xfId="85" applyFont="1" applyFill="1" applyBorder="1" applyAlignment="1">
      <alignment horizontal="center" vertical="center"/>
    </xf>
    <xf numFmtId="0" fontId="126" fillId="13" borderId="104" xfId="85" applyFont="1" applyFill="1" applyBorder="1" applyAlignment="1">
      <alignment horizontal="center" vertical="center"/>
    </xf>
    <xf numFmtId="41" fontId="126" fillId="13" borderId="104" xfId="88" applyFont="1" applyFill="1" applyBorder="1" applyAlignment="1">
      <alignment horizontal="center" vertical="center"/>
    </xf>
    <xf numFmtId="41" fontId="126" fillId="13" borderId="48" xfId="88" applyFont="1" applyFill="1" applyBorder="1" applyAlignment="1">
      <alignment horizontal="center" vertical="center"/>
    </xf>
    <xf numFmtId="196" fontId="116" fillId="0" borderId="108" xfId="89" applyNumberFormat="1" applyFont="1" applyBorder="1" applyAlignment="1">
      <alignment horizontal="center" vertical="center"/>
    </xf>
    <xf numFmtId="196" fontId="116" fillId="0" borderId="106" xfId="89" applyNumberFormat="1" applyFont="1" applyBorder="1" applyAlignment="1">
      <alignment horizontal="center" vertical="center"/>
    </xf>
    <xf numFmtId="41" fontId="150" fillId="0" borderId="108" xfId="89" applyFont="1" applyBorder="1" applyAlignment="1">
      <alignment horizontal="center" vertical="center"/>
    </xf>
    <xf numFmtId="41" fontId="150" fillId="0" borderId="51" xfId="89" applyFont="1" applyBorder="1" applyAlignment="1">
      <alignment horizontal="center" vertical="center"/>
    </xf>
    <xf numFmtId="0" fontId="126" fillId="13" borderId="180" xfId="85" applyFont="1" applyFill="1" applyBorder="1" applyAlignment="1">
      <alignment horizontal="center" vertical="center"/>
    </xf>
    <xf numFmtId="0" fontId="126" fillId="13" borderId="184" xfId="85" applyFont="1" applyFill="1" applyBorder="1" applyAlignment="1">
      <alignment horizontal="center" vertical="center"/>
    </xf>
    <xf numFmtId="0" fontId="126" fillId="13" borderId="144" xfId="85" applyFont="1" applyFill="1" applyBorder="1" applyAlignment="1">
      <alignment horizontal="center" vertical="center"/>
    </xf>
    <xf numFmtId="0" fontId="126" fillId="13" borderId="15" xfId="85" applyFont="1" applyFill="1" applyBorder="1" applyAlignment="1">
      <alignment horizontal="center" vertical="center"/>
    </xf>
    <xf numFmtId="0" fontId="126" fillId="13" borderId="181" xfId="85" applyFont="1" applyFill="1" applyBorder="1" applyAlignment="1">
      <alignment horizontal="center" vertical="center"/>
    </xf>
    <xf numFmtId="0" fontId="126" fillId="13" borderId="182" xfId="85" applyFont="1" applyFill="1" applyBorder="1" applyAlignment="1">
      <alignment horizontal="center" vertical="center"/>
    </xf>
    <xf numFmtId="0" fontId="126" fillId="13" borderId="185" xfId="85" applyFont="1" applyFill="1" applyBorder="1" applyAlignment="1">
      <alignment horizontal="center" vertical="center"/>
    </xf>
    <xf numFmtId="0" fontId="134" fillId="15" borderId="110" xfId="0" applyFont="1" applyFill="1" applyBorder="1" applyAlignment="1">
      <alignment horizontal="center" vertical="center"/>
    </xf>
    <xf numFmtId="0" fontId="134" fillId="15" borderId="103" xfId="0" applyFont="1" applyFill="1" applyBorder="1" applyAlignment="1">
      <alignment horizontal="center" vertical="center"/>
    </xf>
    <xf numFmtId="0" fontId="134" fillId="15" borderId="103" xfId="0" applyFont="1" applyFill="1" applyBorder="1" applyAlignment="1">
      <alignment horizontal="center" vertical="center" wrapText="1"/>
    </xf>
    <xf numFmtId="0" fontId="134" fillId="15" borderId="105" xfId="0" applyFont="1" applyFill="1" applyBorder="1" applyAlignment="1">
      <alignment horizontal="center" vertical="center" wrapText="1"/>
    </xf>
    <xf numFmtId="181" fontId="133" fillId="0" borderId="129" xfId="0" applyNumberFormat="1" applyFont="1" applyBorder="1" applyAlignment="1">
      <alignment horizontal="center" vertical="center" wrapText="1"/>
    </xf>
    <xf numFmtId="181" fontId="133" fillId="0" borderId="107" xfId="0" applyNumberFormat="1" applyFont="1" applyBorder="1" applyAlignment="1">
      <alignment horizontal="center" vertical="center" wrapText="1"/>
    </xf>
    <xf numFmtId="41" fontId="135" fillId="0" borderId="107" xfId="89" applyFont="1" applyBorder="1" applyAlignment="1">
      <alignment horizontal="center" vertical="center"/>
    </xf>
    <xf numFmtId="41" fontId="133" fillId="0" borderId="107" xfId="89" applyFont="1" applyBorder="1" applyAlignment="1">
      <alignment horizontal="center" vertical="center"/>
    </xf>
    <xf numFmtId="0" fontId="134" fillId="0" borderId="107" xfId="0" applyFont="1" applyBorder="1" applyAlignment="1">
      <alignment horizontal="center" vertical="center" wrapText="1"/>
    </xf>
    <xf numFmtId="0" fontId="134" fillId="0" borderId="109" xfId="0" applyFont="1" applyBorder="1" applyAlignment="1">
      <alignment horizontal="center" vertical="center" wrapText="1"/>
    </xf>
    <xf numFmtId="0" fontId="135" fillId="13" borderId="104" xfId="0" applyFont="1" applyFill="1" applyBorder="1" applyAlignment="1">
      <alignment horizontal="center" vertical="center" wrapText="1"/>
    </xf>
    <xf numFmtId="0" fontId="135" fillId="13" borderId="48" xfId="0" applyFont="1" applyFill="1" applyBorder="1" applyAlignment="1">
      <alignment horizontal="center" vertical="center" wrapText="1"/>
    </xf>
    <xf numFmtId="0" fontId="135" fillId="13" borderId="49" xfId="0" applyFont="1" applyFill="1" applyBorder="1" applyAlignment="1">
      <alignment horizontal="center" vertical="center" wrapText="1"/>
    </xf>
    <xf numFmtId="0" fontId="135" fillId="13" borderId="47" xfId="0" applyFont="1" applyFill="1" applyBorder="1" applyAlignment="1">
      <alignment horizontal="center" vertical="center" wrapText="1"/>
    </xf>
    <xf numFmtId="0" fontId="135" fillId="13" borderId="48" xfId="0" applyFont="1" applyFill="1" applyBorder="1" applyAlignment="1">
      <alignment horizontal="center" vertical="center"/>
    </xf>
    <xf numFmtId="0" fontId="135" fillId="13" borderId="102" xfId="0" applyFont="1" applyFill="1" applyBorder="1" applyAlignment="1">
      <alignment horizontal="center" vertical="center"/>
    </xf>
    <xf numFmtId="0" fontId="137" fillId="13" borderId="104" xfId="0" applyFont="1" applyFill="1" applyBorder="1" applyAlignment="1">
      <alignment horizontal="center" vertical="center" wrapText="1"/>
    </xf>
    <xf numFmtId="0" fontId="137" fillId="13" borderId="48" xfId="0" applyFont="1" applyFill="1" applyBorder="1" applyAlignment="1">
      <alignment horizontal="center" vertical="center" wrapText="1"/>
    </xf>
    <xf numFmtId="0" fontId="135" fillId="13" borderId="102" xfId="0" applyFont="1" applyFill="1" applyBorder="1" applyAlignment="1">
      <alignment horizontal="center" vertical="center" wrapText="1"/>
    </xf>
    <xf numFmtId="41" fontId="133" fillId="0" borderId="112" xfId="0" applyNumberFormat="1" applyFont="1" applyBorder="1" applyAlignment="1">
      <alignment horizontal="center" vertical="center" wrapText="1"/>
    </xf>
    <xf numFmtId="0" fontId="133" fillId="0" borderId="131" xfId="0" applyFont="1" applyBorder="1" applyAlignment="1">
      <alignment horizontal="center" vertical="center" wrapText="1"/>
    </xf>
    <xf numFmtId="0" fontId="133" fillId="0" borderId="135" xfId="0" applyFont="1" applyBorder="1" applyAlignment="1">
      <alignment horizontal="center" vertical="center" wrapText="1"/>
    </xf>
    <xf numFmtId="0" fontId="133" fillId="0" borderId="130" xfId="0" applyFont="1" applyBorder="1" applyAlignment="1">
      <alignment horizontal="center" vertical="center" wrapText="1"/>
    </xf>
    <xf numFmtId="0" fontId="133" fillId="0" borderId="131" xfId="0" applyFont="1" applyBorder="1" applyAlignment="1">
      <alignment horizontal="center" vertical="center"/>
    </xf>
    <xf numFmtId="0" fontId="133" fillId="0" borderId="114" xfId="0" applyFont="1" applyBorder="1" applyAlignment="1">
      <alignment horizontal="center" vertical="center"/>
    </xf>
    <xf numFmtId="0" fontId="133" fillId="0" borderId="112" xfId="0" applyFont="1" applyBorder="1" applyAlignment="1">
      <alignment horizontal="center" vertical="center"/>
    </xf>
    <xf numFmtId="3" fontId="133" fillId="0" borderId="112" xfId="89" applyNumberFormat="1" applyFont="1" applyBorder="1" applyAlignment="1">
      <alignment horizontal="center" vertical="center"/>
    </xf>
    <xf numFmtId="0" fontId="133" fillId="0" borderId="131" xfId="89" applyNumberFormat="1" applyFont="1" applyBorder="1" applyAlignment="1">
      <alignment horizontal="center" vertical="center"/>
    </xf>
    <xf numFmtId="0" fontId="133" fillId="0" borderId="114" xfId="89" applyNumberFormat="1" applyFont="1" applyBorder="1" applyAlignment="1">
      <alignment horizontal="center" vertical="center"/>
    </xf>
    <xf numFmtId="41" fontId="133" fillId="0" borderId="132" xfId="89" applyFont="1" applyBorder="1" applyAlignment="1">
      <alignment horizontal="center" vertical="center"/>
    </xf>
    <xf numFmtId="41" fontId="133" fillId="0" borderId="133" xfId="89" applyFont="1" applyBorder="1" applyAlignment="1">
      <alignment horizontal="center" vertical="center"/>
    </xf>
    <xf numFmtId="41" fontId="133" fillId="0" borderId="134" xfId="89" applyFont="1" applyBorder="1" applyAlignment="1">
      <alignment horizontal="center" vertical="center"/>
    </xf>
    <xf numFmtId="2" fontId="133" fillId="0" borderId="112" xfId="0" applyNumberFormat="1" applyFont="1" applyBorder="1" applyAlignment="1">
      <alignment horizontal="center" vertical="center" wrapText="1"/>
    </xf>
    <xf numFmtId="2" fontId="133" fillId="0" borderId="131" xfId="0" applyNumberFormat="1" applyFont="1" applyBorder="1" applyAlignment="1">
      <alignment horizontal="center" vertical="center" wrapText="1"/>
    </xf>
    <xf numFmtId="2" fontId="133" fillId="0" borderId="114" xfId="0" applyNumberFormat="1" applyFont="1" applyBorder="1" applyAlignment="1">
      <alignment horizontal="center" vertical="center" wrapText="1"/>
    </xf>
    <xf numFmtId="41" fontId="133" fillId="0" borderId="132" xfId="0" applyNumberFormat="1" applyFont="1" applyBorder="1" applyAlignment="1">
      <alignment horizontal="center" vertical="center" wrapText="1"/>
    </xf>
    <xf numFmtId="0" fontId="133" fillId="0" borderId="133" xfId="0" applyFont="1" applyBorder="1" applyAlignment="1">
      <alignment horizontal="center" vertical="center" wrapText="1"/>
    </xf>
    <xf numFmtId="0" fontId="133" fillId="0" borderId="134" xfId="0" applyFont="1" applyBorder="1" applyAlignment="1">
      <alignment horizontal="center" vertical="center" wrapText="1"/>
    </xf>
    <xf numFmtId="0" fontId="133" fillId="0" borderId="112" xfId="0" applyFont="1" applyBorder="1" applyAlignment="1">
      <alignment horizontal="center" vertical="center" wrapText="1"/>
    </xf>
    <xf numFmtId="0" fontId="133" fillId="0" borderId="114" xfId="0" applyFont="1" applyBorder="1" applyAlignment="1">
      <alignment horizontal="center" vertical="center" wrapText="1"/>
    </xf>
    <xf numFmtId="9" fontId="133" fillId="0" borderId="112" xfId="0" applyNumberFormat="1" applyFont="1" applyBorder="1" applyAlignment="1">
      <alignment horizontal="center" vertical="center"/>
    </xf>
    <xf numFmtId="41" fontId="133" fillId="0" borderId="0" xfId="89" applyFont="1">
      <alignment vertical="center"/>
    </xf>
    <xf numFmtId="41" fontId="133" fillId="0" borderId="112" xfId="89" applyFont="1" applyBorder="1">
      <alignment vertical="center"/>
    </xf>
    <xf numFmtId="41" fontId="133" fillId="0" borderId="131" xfId="89" applyFont="1" applyBorder="1">
      <alignment vertical="center"/>
    </xf>
    <xf numFmtId="41" fontId="133" fillId="0" borderId="114" xfId="89" applyFont="1" applyBorder="1">
      <alignment vertical="center"/>
    </xf>
    <xf numFmtId="41" fontId="133" fillId="0" borderId="117" xfId="0" applyNumberFormat="1" applyFont="1" applyBorder="1" applyAlignment="1">
      <alignment horizontal="center" vertical="center" wrapText="1"/>
    </xf>
    <xf numFmtId="0" fontId="133" fillId="0" borderId="137" xfId="0" applyFont="1" applyBorder="1" applyAlignment="1">
      <alignment horizontal="center" vertical="center" wrapText="1"/>
    </xf>
    <xf numFmtId="0" fontId="133" fillId="0" borderId="138" xfId="0" applyFont="1" applyBorder="1" applyAlignment="1">
      <alignment horizontal="center" vertical="center" wrapText="1"/>
    </xf>
    <xf numFmtId="0" fontId="133" fillId="0" borderId="136" xfId="0" applyFont="1" applyBorder="1" applyAlignment="1">
      <alignment horizontal="center" vertical="center" wrapText="1"/>
    </xf>
    <xf numFmtId="0" fontId="133" fillId="0" borderId="137" xfId="0" applyFont="1" applyBorder="1" applyAlignment="1">
      <alignment horizontal="center" vertical="center"/>
    </xf>
    <xf numFmtId="0" fontId="133" fillId="0" borderId="119" xfId="0" applyFont="1" applyBorder="1" applyAlignment="1">
      <alignment horizontal="center" vertical="center"/>
    </xf>
    <xf numFmtId="0" fontId="133" fillId="0" borderId="117" xfId="0" applyFont="1" applyBorder="1" applyAlignment="1">
      <alignment horizontal="center" vertical="center"/>
    </xf>
    <xf numFmtId="3" fontId="133" fillId="0" borderId="117" xfId="89" applyNumberFormat="1" applyFont="1" applyBorder="1" applyAlignment="1">
      <alignment horizontal="center" vertical="center"/>
    </xf>
    <xf numFmtId="0" fontId="133" fillId="0" borderId="137" xfId="89" applyNumberFormat="1" applyFont="1" applyBorder="1" applyAlignment="1">
      <alignment horizontal="center" vertical="center"/>
    </xf>
    <xf numFmtId="0" fontId="133" fillId="0" borderId="119" xfId="89" applyNumberFormat="1" applyFont="1" applyBorder="1" applyAlignment="1">
      <alignment horizontal="center" vertical="center"/>
    </xf>
    <xf numFmtId="41" fontId="133" fillId="0" borderId="117" xfId="89" applyFont="1" applyBorder="1">
      <alignment vertical="center"/>
    </xf>
    <xf numFmtId="41" fontId="133" fillId="0" borderId="137" xfId="89" applyFont="1" applyBorder="1">
      <alignment vertical="center"/>
    </xf>
    <xf numFmtId="41" fontId="133" fillId="0" borderId="119" xfId="89" applyFont="1" applyBorder="1">
      <alignment vertical="center"/>
    </xf>
    <xf numFmtId="41" fontId="133" fillId="0" borderId="117" xfId="89" applyFont="1" applyBorder="1" applyAlignment="1">
      <alignment horizontal="center" vertical="center"/>
    </xf>
    <xf numFmtId="41" fontId="133" fillId="0" borderId="137" xfId="89" applyFont="1" applyBorder="1" applyAlignment="1">
      <alignment horizontal="center" vertical="center"/>
    </xf>
    <xf numFmtId="0" fontId="133" fillId="0" borderId="117" xfId="0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center" vertical="center" wrapText="1"/>
    </xf>
    <xf numFmtId="41" fontId="133" fillId="0" borderId="31" xfId="0" applyNumberFormat="1" applyFont="1" applyBorder="1" applyAlignment="1">
      <alignment horizontal="center" vertical="center" wrapText="1"/>
    </xf>
    <xf numFmtId="0" fontId="133" fillId="0" borderId="29" xfId="0" applyFont="1" applyBorder="1" applyAlignment="1">
      <alignment horizontal="center" vertical="center" wrapText="1"/>
    </xf>
    <xf numFmtId="0" fontId="133" fillId="0" borderId="28" xfId="0" applyFont="1" applyBorder="1" applyAlignment="1">
      <alignment horizontal="center" vertical="center" wrapText="1"/>
    </xf>
    <xf numFmtId="9" fontId="133" fillId="0" borderId="117" xfId="0" applyNumberFormat="1" applyFont="1" applyBorder="1" applyAlignment="1">
      <alignment horizontal="center" vertical="center"/>
    </xf>
    <xf numFmtId="41" fontId="133" fillId="0" borderId="31" xfId="89" applyFont="1" applyBorder="1">
      <alignment vertical="center"/>
    </xf>
    <xf numFmtId="41" fontId="133" fillId="0" borderId="29" xfId="89" applyFont="1" applyBorder="1">
      <alignment vertical="center"/>
    </xf>
    <xf numFmtId="41" fontId="133" fillId="0" borderId="28" xfId="89" applyFont="1" applyBorder="1">
      <alignment vertical="center"/>
    </xf>
    <xf numFmtId="41" fontId="133" fillId="0" borderId="34" xfId="0" applyNumberFormat="1" applyFont="1" applyBorder="1" applyAlignment="1">
      <alignment horizontal="center" vertical="center" wrapText="1"/>
    </xf>
    <xf numFmtId="0" fontId="133" fillId="0" borderId="0" xfId="0" applyFont="1" applyAlignment="1">
      <alignment horizontal="center" vertical="center" wrapText="1"/>
    </xf>
    <xf numFmtId="0" fontId="133" fillId="0" borderId="22" xfId="0" applyFont="1" applyBorder="1" applyAlignment="1">
      <alignment horizontal="center" vertical="center" wrapText="1"/>
    </xf>
    <xf numFmtId="0" fontId="133" fillId="0" borderId="139" xfId="0" applyFont="1" applyBorder="1" applyAlignment="1">
      <alignment horizontal="center" vertical="center" wrapText="1"/>
    </xf>
    <xf numFmtId="0" fontId="133" fillId="0" borderId="140" xfId="0" applyFont="1" applyBorder="1" applyAlignment="1">
      <alignment horizontal="center" vertical="center"/>
    </xf>
    <xf numFmtId="0" fontId="133" fillId="0" borderId="124" xfId="0" applyFont="1" applyBorder="1" applyAlignment="1">
      <alignment horizontal="center" vertical="center"/>
    </xf>
    <xf numFmtId="0" fontId="133" fillId="0" borderId="141" xfId="0" applyFont="1" applyBorder="1" applyAlignment="1">
      <alignment horizontal="center" vertical="center"/>
    </xf>
    <xf numFmtId="0" fontId="133" fillId="0" borderId="19" xfId="0" applyFont="1" applyBorder="1" applyAlignment="1">
      <alignment horizontal="center" vertical="center"/>
    </xf>
    <xf numFmtId="0" fontId="133" fillId="0" borderId="142" xfId="0" applyFont="1" applyBorder="1" applyAlignment="1">
      <alignment horizontal="center" vertical="center"/>
    </xf>
    <xf numFmtId="3" fontId="133" fillId="0" borderId="0" xfId="89" applyNumberFormat="1" applyFont="1" applyAlignment="1">
      <alignment horizontal="center" vertical="center"/>
    </xf>
    <xf numFmtId="0" fontId="133" fillId="0" borderId="0" xfId="89" applyNumberFormat="1" applyFont="1" applyAlignment="1">
      <alignment horizontal="center" vertical="center"/>
    </xf>
    <xf numFmtId="41" fontId="136" fillId="0" borderId="122" xfId="89" applyFont="1" applyBorder="1">
      <alignment vertical="center"/>
    </xf>
    <xf numFmtId="41" fontId="136" fillId="0" borderId="140" xfId="89" applyFont="1" applyBorder="1">
      <alignment vertical="center"/>
    </xf>
    <xf numFmtId="41" fontId="136" fillId="0" borderId="124" xfId="89" applyFont="1" applyBorder="1">
      <alignment vertical="center"/>
    </xf>
    <xf numFmtId="41" fontId="133" fillId="0" borderId="143" xfId="89" applyFont="1" applyBorder="1" applyAlignment="1">
      <alignment horizontal="center" vertical="center"/>
    </xf>
    <xf numFmtId="41" fontId="133" fillId="0" borderId="36" xfId="89" applyFont="1" applyBorder="1" applyAlignment="1">
      <alignment horizontal="center" vertical="center"/>
    </xf>
    <xf numFmtId="0" fontId="133" fillId="0" borderId="141" xfId="0" applyFont="1" applyBorder="1" applyAlignment="1">
      <alignment horizontal="center" vertical="center" wrapText="1"/>
    </xf>
    <xf numFmtId="0" fontId="133" fillId="0" borderId="19" xfId="0" applyFont="1" applyBorder="1" applyAlignment="1">
      <alignment horizontal="center" vertical="center" wrapText="1"/>
    </xf>
    <xf numFmtId="0" fontId="133" fillId="0" borderId="142" xfId="0" applyFont="1" applyBorder="1" applyAlignment="1">
      <alignment horizontal="center" vertical="center" wrapText="1"/>
    </xf>
    <xf numFmtId="41" fontId="133" fillId="0" borderId="122" xfId="0" applyNumberFormat="1" applyFont="1" applyBorder="1" applyAlignment="1">
      <alignment horizontal="center" vertical="center" wrapText="1"/>
    </xf>
    <xf numFmtId="0" fontId="133" fillId="0" borderId="140" xfId="0" applyFont="1" applyBorder="1" applyAlignment="1">
      <alignment horizontal="center" vertical="center" wrapText="1"/>
    </xf>
    <xf numFmtId="0" fontId="133" fillId="0" borderId="124" xfId="0" applyFont="1" applyBorder="1" applyAlignment="1">
      <alignment horizontal="center" vertical="center" wrapText="1"/>
    </xf>
    <xf numFmtId="9" fontId="133" fillId="0" borderId="141" xfId="0" applyNumberFormat="1" applyFont="1" applyBorder="1" applyAlignment="1">
      <alignment horizontal="center" vertical="center"/>
    </xf>
    <xf numFmtId="41" fontId="133" fillId="0" borderId="122" xfId="89" applyFont="1" applyBorder="1">
      <alignment vertical="center"/>
    </xf>
    <xf numFmtId="41" fontId="133" fillId="0" borderId="140" xfId="89" applyFont="1" applyBorder="1">
      <alignment vertical="center"/>
    </xf>
    <xf numFmtId="41" fontId="133" fillId="0" borderId="124" xfId="89" applyFont="1" applyBorder="1">
      <alignment vertical="center"/>
    </xf>
    <xf numFmtId="0" fontId="135" fillId="13" borderId="16" xfId="0" applyFont="1" applyFill="1" applyBorder="1" applyAlignment="1">
      <alignment horizontal="center" vertical="center" wrapText="1"/>
    </xf>
    <xf numFmtId="0" fontId="135" fillId="13" borderId="3" xfId="0" applyFont="1" applyFill="1" applyBorder="1" applyAlignment="1">
      <alignment horizontal="center" vertical="center" wrapText="1"/>
    </xf>
    <xf numFmtId="0" fontId="135" fillId="13" borderId="23" xfId="0" applyFont="1" applyFill="1" applyBorder="1" applyAlignment="1">
      <alignment horizontal="center" vertical="center" wrapText="1"/>
    </xf>
    <xf numFmtId="41" fontId="135" fillId="13" borderId="144" xfId="0" applyNumberFormat="1" applyFont="1" applyFill="1" applyBorder="1" applyAlignment="1">
      <alignment horizontal="center" vertical="center" wrapText="1"/>
    </xf>
    <xf numFmtId="0" fontId="135" fillId="13" borderId="15" xfId="0" applyFont="1" applyFill="1" applyBorder="1" applyAlignment="1">
      <alignment horizontal="center" vertical="center" wrapText="1"/>
    </xf>
    <xf numFmtId="41" fontId="135" fillId="13" borderId="26" xfId="0" applyNumberFormat="1" applyFont="1" applyFill="1" applyBorder="1" applyAlignment="1">
      <alignment horizontal="center" vertical="center" wrapText="1"/>
    </xf>
    <xf numFmtId="0" fontId="135" fillId="13" borderId="17" xfId="0" applyFont="1" applyFill="1" applyBorder="1" applyAlignment="1">
      <alignment horizontal="center" vertical="center" wrapText="1"/>
    </xf>
    <xf numFmtId="0" fontId="134" fillId="15" borderId="47" xfId="0" applyFont="1" applyFill="1" applyBorder="1" applyAlignment="1">
      <alignment horizontal="center" vertical="center"/>
    </xf>
    <xf numFmtId="0" fontId="134" fillId="15" borderId="48" xfId="0" applyFont="1" applyFill="1" applyBorder="1" applyAlignment="1">
      <alignment horizontal="center" vertical="center"/>
    </xf>
    <xf numFmtId="0" fontId="134" fillId="15" borderId="102" xfId="0" applyFont="1" applyFill="1" applyBorder="1" applyAlignment="1">
      <alignment horizontal="center" vertical="center"/>
    </xf>
    <xf numFmtId="0" fontId="134" fillId="15" borderId="104" xfId="0" applyFont="1" applyFill="1" applyBorder="1" applyAlignment="1">
      <alignment horizontal="center" vertical="center"/>
    </xf>
    <xf numFmtId="0" fontId="134" fillId="15" borderId="49" xfId="0" applyFont="1" applyFill="1" applyBorder="1" applyAlignment="1">
      <alignment horizontal="center" vertical="center"/>
    </xf>
    <xf numFmtId="9" fontId="133" fillId="0" borderId="51" xfId="0" applyNumberFormat="1" applyFont="1" applyBorder="1" applyAlignment="1">
      <alignment horizontal="center" vertical="center"/>
    </xf>
    <xf numFmtId="9" fontId="133" fillId="0" borderId="108" xfId="0" applyNumberFormat="1" applyFont="1" applyBorder="1" applyAlignment="1">
      <alignment horizontal="center" vertical="center"/>
    </xf>
    <xf numFmtId="9" fontId="133" fillId="0" borderId="106" xfId="0" applyNumberFormat="1" applyFont="1" applyBorder="1" applyAlignment="1">
      <alignment horizontal="center" vertical="center"/>
    </xf>
    <xf numFmtId="0" fontId="133" fillId="0" borderId="18" xfId="0" applyFont="1" applyBorder="1" applyAlignment="1">
      <alignment horizontal="center" vertical="center"/>
    </xf>
    <xf numFmtId="9" fontId="133" fillId="0" borderId="52" xfId="0" applyNumberFormat="1" applyFont="1" applyBorder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131" fillId="0" borderId="145" xfId="0" applyFont="1" applyBorder="1" applyAlignment="1">
      <alignment horizontal="center" vertical="center"/>
    </xf>
    <xf numFmtId="0" fontId="131" fillId="0" borderId="151" xfId="0" applyFont="1" applyBorder="1" applyAlignment="1">
      <alignment horizontal="center" vertical="center"/>
    </xf>
    <xf numFmtId="0" fontId="131" fillId="0" borderId="113" xfId="0" applyFont="1" applyBorder="1" applyAlignment="1">
      <alignment horizontal="center" vertical="center"/>
    </xf>
    <xf numFmtId="0" fontId="131" fillId="0" borderId="152" xfId="0" applyFont="1" applyBorder="1" applyAlignment="1">
      <alignment horizontal="center" vertical="center"/>
    </xf>
    <xf numFmtId="0" fontId="131" fillId="0" borderId="113" xfId="0" applyFont="1" applyBorder="1" applyAlignment="1">
      <alignment horizontal="center" vertical="center" wrapText="1"/>
    </xf>
    <xf numFmtId="0" fontId="131" fillId="0" borderId="150" xfId="0" applyFont="1" applyBorder="1" applyAlignment="1">
      <alignment horizontal="center" vertical="center"/>
    </xf>
    <xf numFmtId="0" fontId="131" fillId="0" borderId="158" xfId="0" applyFont="1" applyBorder="1" applyAlignment="1">
      <alignment horizontal="center" vertical="center"/>
    </xf>
    <xf numFmtId="41" fontId="33" fillId="2" borderId="0" xfId="0" applyNumberFormat="1" applyFont="1" applyFill="1" applyAlignment="1">
      <alignment horizontal="center" vertical="center"/>
    </xf>
    <xf numFmtId="41" fontId="33" fillId="2" borderId="0" xfId="29" applyFont="1" applyFill="1" applyAlignment="1">
      <alignment horizontal="center" vertical="center"/>
    </xf>
    <xf numFmtId="41" fontId="33" fillId="2" borderId="9" xfId="46" applyFont="1" applyFill="1" applyBorder="1" applyAlignment="1">
      <alignment horizontal="center" vertical="center"/>
    </xf>
    <xf numFmtId="41" fontId="33" fillId="2" borderId="11" xfId="46" applyFont="1" applyFill="1" applyBorder="1" applyAlignment="1">
      <alignment horizontal="center" vertical="center"/>
    </xf>
    <xf numFmtId="0" fontId="33" fillId="2" borderId="9" xfId="68" applyFont="1" applyFill="1" applyBorder="1" applyAlignment="1">
      <alignment horizontal="center" vertical="center"/>
    </xf>
    <xf numFmtId="0" fontId="33" fillId="2" borderId="11" xfId="68" applyFont="1" applyFill="1" applyBorder="1" applyAlignment="1">
      <alignment horizontal="center" vertical="center"/>
    </xf>
    <xf numFmtId="0" fontId="32" fillId="0" borderId="16" xfId="81" applyFont="1" applyBorder="1" applyAlignment="1">
      <alignment horizontal="center" vertical="center" wrapText="1"/>
    </xf>
    <xf numFmtId="0" fontId="33" fillId="0" borderId="17" xfId="0" applyFont="1" applyBorder="1"/>
    <xf numFmtId="0" fontId="32" fillId="0" borderId="3" xfId="81" applyFont="1" applyBorder="1" applyAlignment="1">
      <alignment horizontal="center" vertical="center" wrapText="1"/>
    </xf>
  </cellXfs>
  <cellStyles count="92">
    <cellStyle name="&quot;" xfId="1"/>
    <cellStyle name="??&amp;O?&amp;H?_x0008__x000f__x0007_?_x0007__x0001__x0001_" xfId="2"/>
    <cellStyle name="??&amp;O?&amp;H?_x0008_??_x0007__x0001__x0001_" xfId="3"/>
    <cellStyle name="??&amp;쏗?뷐9_x0008__x0011__x0007_?_x0007__x0001__x0001_" xfId="4"/>
    <cellStyle name="_시정홍보용 전광판 제작 및 설치(제조)" xfId="5"/>
    <cellStyle name="category" xfId="6"/>
    <cellStyle name="Comma [0]_ SG&amp;A Bridge " xfId="7"/>
    <cellStyle name="Comma_ SG&amp;A Bridge " xfId="8"/>
    <cellStyle name="Currency [0]_ SG&amp;A Bridge " xfId="9"/>
    <cellStyle name="Currency_ SG&amp;A Bridge " xfId="10"/>
    <cellStyle name="Grey" xfId="11"/>
    <cellStyle name="HEADER" xfId="12"/>
    <cellStyle name="Header1" xfId="13"/>
    <cellStyle name="Header1 8 3 3" xfId="91"/>
    <cellStyle name="Header2" xfId="14"/>
    <cellStyle name="Input [yellow]" xfId="15"/>
    <cellStyle name="Model" xfId="16"/>
    <cellStyle name="Normal - Style1" xfId="17"/>
    <cellStyle name="Normal_ SG&amp;A Bridge " xfId="18"/>
    <cellStyle name="Percent [2]" xfId="19"/>
    <cellStyle name="subhead" xfId="20"/>
    <cellStyle name="title [2]" xfId="21"/>
    <cellStyle name="뒤에 오는 하이퍼링크_공사" xfId="22"/>
    <cellStyle name="똿뗦먛귟 [0.00]_PRODUCT DETAIL Q1" xfId="23"/>
    <cellStyle name="똿뗦먛귟_PRODUCT DETAIL Q1" xfId="24"/>
    <cellStyle name="믅됞 [0.00]_PRODUCT DETAIL Q1" xfId="25"/>
    <cellStyle name="믅됞_PRODUCT DETAIL Q1" xfId="26"/>
    <cellStyle name="백분율" xfId="27" builtinId="5"/>
    <cellStyle name="백분율 2" xfId="83"/>
    <cellStyle name="뷭?_BOOKSHIP" xfId="28"/>
    <cellStyle name="쉼표 [0]" xfId="29" builtinId="6"/>
    <cellStyle name="쉼표 [0] 10" xfId="30"/>
    <cellStyle name="쉼표 [0] 10 4" xfId="31"/>
    <cellStyle name="쉼표 [0] 12 2 6" xfId="32"/>
    <cellStyle name="쉼표 [0] 13" xfId="33"/>
    <cellStyle name="쉼표 [0] 2" xfId="34"/>
    <cellStyle name="쉼표 [0] 2 16" xfId="88"/>
    <cellStyle name="쉼표 [0] 2 2" xfId="35"/>
    <cellStyle name="쉼표 [0] 2 2 2" xfId="36"/>
    <cellStyle name="쉼표 [0] 2 3 10" xfId="37"/>
    <cellStyle name="쉼표 [0] 21" xfId="38"/>
    <cellStyle name="쉼표 [0] 22 2" xfId="90"/>
    <cellStyle name="쉼표 [0] 3" xfId="39"/>
    <cellStyle name="쉼표 [0] 34" xfId="89"/>
    <cellStyle name="쉼표 [0] 4" xfId="40"/>
    <cellStyle name="쉼표 [0] 5" xfId="82"/>
    <cellStyle name="쉼표 [0]_2. 냉온수" xfId="41"/>
    <cellStyle name="스타일 1" xfId="42"/>
    <cellStyle name="지정되지 않음" xfId="43"/>
    <cellStyle name="콤마 [0]_ 재료원단위 4-2-1 정문" xfId="44"/>
    <cellStyle name="콤마 [0]_경비" xfId="45"/>
    <cellStyle name="콤마 [0]_국영테크" xfId="46"/>
    <cellStyle name="콤마 [0]_모형제조" xfId="47"/>
    <cellStyle name="콤마_ 재료원단위 4-2-1 정문" xfId="48"/>
    <cellStyle name="표준" xfId="0" builtinId="0"/>
    <cellStyle name="표준 - Styl1 2" xfId="49"/>
    <cellStyle name="표준 11" xfId="50"/>
    <cellStyle name="표준 2" xfId="51"/>
    <cellStyle name="표준 2 2" xfId="87"/>
    <cellStyle name="표준 2 2 2" xfId="52"/>
    <cellStyle name="표준 2 2 7" xfId="53"/>
    <cellStyle name="표준 2 7" xfId="84"/>
    <cellStyle name="표준 3" xfId="54"/>
    <cellStyle name="표준 5 5" xfId="55"/>
    <cellStyle name="표준 55" xfId="85"/>
    <cellStyle name="표준 7 2 2" xfId="56"/>
    <cellStyle name="표준 76" xfId="86"/>
    <cellStyle name="표준_★간지 (2004)" xfId="57"/>
    <cellStyle name="표준_★간지 (2004)_1. 야외전시장보고서-제조" xfId="58"/>
    <cellStyle name="표준_1.태백산맥(전시시설)" xfId="59"/>
    <cellStyle name="표준_2. 냉온수" xfId="60"/>
    <cellStyle name="표준_2001갑지" xfId="61"/>
    <cellStyle name="표준_6.태백산맥(전기)" xfId="62"/>
    <cellStyle name="표준_KT구축_제주나라호텔" xfId="63"/>
    <cellStyle name="표준_가변형_1" xfId="64"/>
    <cellStyle name="표준_가변형_금고설치(신진)" xfId="65"/>
    <cellStyle name="표준_가변형_모형(부산)_2. 설명패널(간접비)09-03" xfId="66"/>
    <cellStyle name="표준_가변형_신성금고제작" xfId="67"/>
    <cellStyle name="표준_국영공사" xfId="68"/>
    <cellStyle name="표준_단말기" xfId="69"/>
    <cellStyle name="표준_동두천갑지" xfId="70"/>
    <cellStyle name="표준_마권용지" xfId="71"/>
    <cellStyle name="표준_모형제조" xfId="72"/>
    <cellStyle name="표준_모형제조_2-사인공사조정" xfId="73"/>
    <cellStyle name="표준_배부율" xfId="74"/>
    <cellStyle name="표준_비닐백" xfId="75"/>
    <cellStyle name="표준_상수도 가압장 원격감시제어 설치공사 설계용역" xfId="76"/>
    <cellStyle name="표준_양식11" xfId="77"/>
    <cellStyle name="표준_용역(참고자료)" xfId="78"/>
    <cellStyle name="표준_원가" xfId="79"/>
    <cellStyle name="표준_음식물쓰레기" xfId="80"/>
    <cellStyle name="표준_일반관리비" xfId="8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1.xml"/><Relationship Id="rId68" Type="http://schemas.openxmlformats.org/officeDocument/2006/relationships/externalLink" Target="externalLinks/externalLink6.xml"/><Relationship Id="rId84" Type="http://schemas.openxmlformats.org/officeDocument/2006/relationships/externalLink" Target="externalLinks/externalLink22.xml"/><Relationship Id="rId89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2.xml"/><Relationship Id="rId79" Type="http://schemas.openxmlformats.org/officeDocument/2006/relationships/externalLink" Target="externalLinks/externalLink17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8.xml"/><Relationship Id="rId95" Type="http://schemas.openxmlformats.org/officeDocument/2006/relationships/externalLink" Target="externalLinks/externalLink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2.xml"/><Relationship Id="rId69" Type="http://schemas.openxmlformats.org/officeDocument/2006/relationships/externalLink" Target="externalLinks/externalLink7.xml"/><Relationship Id="rId80" Type="http://schemas.openxmlformats.org/officeDocument/2006/relationships/externalLink" Target="externalLinks/externalLink18.xml"/><Relationship Id="rId85" Type="http://schemas.openxmlformats.org/officeDocument/2006/relationships/externalLink" Target="externalLinks/externalLink2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8.xml"/><Relationship Id="rId75" Type="http://schemas.openxmlformats.org/officeDocument/2006/relationships/externalLink" Target="externalLinks/externalLink13.xml"/><Relationship Id="rId83" Type="http://schemas.openxmlformats.org/officeDocument/2006/relationships/externalLink" Target="externalLinks/externalLink21.xml"/><Relationship Id="rId88" Type="http://schemas.openxmlformats.org/officeDocument/2006/relationships/externalLink" Target="externalLinks/externalLink26.xml"/><Relationship Id="rId91" Type="http://schemas.openxmlformats.org/officeDocument/2006/relationships/externalLink" Target="externalLinks/externalLink29.xml"/><Relationship Id="rId96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3.xml"/><Relationship Id="rId73" Type="http://schemas.openxmlformats.org/officeDocument/2006/relationships/externalLink" Target="externalLinks/externalLink11.xml"/><Relationship Id="rId78" Type="http://schemas.openxmlformats.org/officeDocument/2006/relationships/externalLink" Target="externalLinks/externalLink16.xml"/><Relationship Id="rId81" Type="http://schemas.openxmlformats.org/officeDocument/2006/relationships/externalLink" Target="externalLinks/externalLink19.xml"/><Relationship Id="rId86" Type="http://schemas.openxmlformats.org/officeDocument/2006/relationships/externalLink" Target="externalLinks/externalLink24.xml"/><Relationship Id="rId94" Type="http://schemas.openxmlformats.org/officeDocument/2006/relationships/externalLink" Target="externalLinks/externalLink32.xml"/><Relationship Id="rId99" Type="http://schemas.openxmlformats.org/officeDocument/2006/relationships/externalLink" Target="externalLinks/externalLink37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4.xml"/><Relationship Id="rId97" Type="http://schemas.openxmlformats.org/officeDocument/2006/relationships/externalLink" Target="externalLinks/externalLink35.xml"/><Relationship Id="rId104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9.xml"/><Relationship Id="rId92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4.xml"/><Relationship Id="rId87" Type="http://schemas.openxmlformats.org/officeDocument/2006/relationships/externalLink" Target="externalLinks/externalLink25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5.xml"/><Relationship Id="rId100" Type="http://schemas.openxmlformats.org/officeDocument/2006/relationships/theme" Target="theme/theme1.xml"/><Relationship Id="rId105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0.xml"/><Relationship Id="rId93" Type="http://schemas.openxmlformats.org/officeDocument/2006/relationships/externalLink" Target="externalLinks/externalLink31.xml"/><Relationship Id="rId98" Type="http://schemas.openxmlformats.org/officeDocument/2006/relationships/externalLink" Target="externalLinks/externalLink36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15</xdr:row>
      <xdr:rowOff>85725</xdr:rowOff>
    </xdr:from>
    <xdr:to>
      <xdr:col>4</xdr:col>
      <xdr:colOff>219075</xdr:colOff>
      <xdr:row>16</xdr:row>
      <xdr:rowOff>314325</xdr:rowOff>
    </xdr:to>
    <xdr:pic>
      <xdr:nvPicPr>
        <xdr:cNvPr id="864258" name="_x167865280" descr="EMB00000eec2c9a">
          <a:extLst>
            <a:ext uri="{FF2B5EF4-FFF2-40B4-BE49-F238E27FC236}">
              <a16:creationId xmlns:a16="http://schemas.microsoft.com/office/drawing/2014/main" id="{00000000-0008-0000-0100-000002300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09900" y="4772025"/>
          <a:ext cx="120967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0" y="962025"/>
          <a:ext cx="2533650" cy="514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2533650" cy="5524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727108" name="Line 1">
          <a:extLst>
            <a:ext uri="{FF2B5EF4-FFF2-40B4-BE49-F238E27FC236}">
              <a16:creationId xmlns:a16="http://schemas.microsoft.com/office/drawing/2014/main" id="{00000000-0008-0000-0900-000044180B00}"/>
            </a:ext>
          </a:extLst>
        </xdr:cNvPr>
        <xdr:cNvSpPr>
          <a:spLocks noChangeShapeType="1"/>
        </xdr:cNvSpPr>
      </xdr:nvSpPr>
      <xdr:spPr bwMode="auto">
        <a:xfrm>
          <a:off x="0" y="962025"/>
          <a:ext cx="2533650" cy="514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BC1FC20-FC20-4E09-8ADA-9C30D7AB49AC}"/>
            </a:ext>
          </a:extLst>
        </xdr:cNvPr>
        <xdr:cNvSpPr>
          <a:spLocks noChangeShapeType="1"/>
        </xdr:cNvSpPr>
      </xdr:nvSpPr>
      <xdr:spPr bwMode="auto">
        <a:xfrm>
          <a:off x="0" y="962025"/>
          <a:ext cx="2533650" cy="514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6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B0C9101-71A2-4B69-9D42-2C73EBDFFB28}"/>
            </a:ext>
          </a:extLst>
        </xdr:cNvPr>
        <xdr:cNvSpPr>
          <a:spLocks noChangeShapeType="1"/>
        </xdr:cNvSpPr>
      </xdr:nvSpPr>
      <xdr:spPr bwMode="auto">
        <a:xfrm>
          <a:off x="0" y="962025"/>
          <a:ext cx="2533650" cy="51435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155575</xdr:rowOff>
    </xdr:from>
    <xdr:to>
      <xdr:col>5</xdr:col>
      <xdr:colOff>892175</xdr:colOff>
      <xdr:row>55</xdr:row>
      <xdr:rowOff>33897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26A5C4-A72C-4BAF-88D6-3330F34A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5940425"/>
          <a:ext cx="4308475" cy="6142597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</xdr:colOff>
      <xdr:row>18</xdr:row>
      <xdr:rowOff>3175</xdr:rowOff>
    </xdr:from>
    <xdr:to>
      <xdr:col>10</xdr:col>
      <xdr:colOff>777875</xdr:colOff>
      <xdr:row>55</xdr:row>
      <xdr:rowOff>130072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AECFF7D-51C3-4BCF-9DA0-98E095BA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0" y="5953125"/>
          <a:ext cx="4572000" cy="62260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495300</xdr:rowOff>
    </xdr:from>
    <xdr:to>
      <xdr:col>4</xdr:col>
      <xdr:colOff>0</xdr:colOff>
      <xdr:row>3</xdr:row>
      <xdr:rowOff>495300</xdr:rowOff>
    </xdr:to>
    <xdr:sp macro="" textlink="">
      <xdr:nvSpPr>
        <xdr:cNvPr id="17939" name="Line 1">
          <a:extLst>
            <a:ext uri="{FF2B5EF4-FFF2-40B4-BE49-F238E27FC236}">
              <a16:creationId xmlns:a16="http://schemas.microsoft.com/office/drawing/2014/main" id="{00000000-0008-0000-2D00-000013460000}"/>
            </a:ext>
          </a:extLst>
        </xdr:cNvPr>
        <xdr:cNvSpPr>
          <a:spLocks noChangeShapeType="1"/>
        </xdr:cNvSpPr>
      </xdr:nvSpPr>
      <xdr:spPr bwMode="auto">
        <a:xfrm>
          <a:off x="2085975" y="1276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495300</xdr:rowOff>
    </xdr:from>
    <xdr:to>
      <xdr:col>3</xdr:col>
      <xdr:colOff>0</xdr:colOff>
      <xdr:row>3</xdr:row>
      <xdr:rowOff>495300</xdr:rowOff>
    </xdr:to>
    <xdr:sp macro="" textlink="">
      <xdr:nvSpPr>
        <xdr:cNvPr id="9099" name="Line 1">
          <a:extLst>
            <a:ext uri="{FF2B5EF4-FFF2-40B4-BE49-F238E27FC236}">
              <a16:creationId xmlns:a16="http://schemas.microsoft.com/office/drawing/2014/main" id="{00000000-0008-0000-1100-00008B230000}"/>
            </a:ext>
          </a:extLst>
        </xdr:cNvPr>
        <xdr:cNvSpPr>
          <a:spLocks noChangeShapeType="1"/>
        </xdr:cNvSpPr>
      </xdr:nvSpPr>
      <xdr:spPr bwMode="auto">
        <a:xfrm>
          <a:off x="2486025" y="990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142875</xdr:colOff>
      <xdr:row>8</xdr:row>
      <xdr:rowOff>409575</xdr:rowOff>
    </xdr:from>
    <xdr:to>
      <xdr:col>4</xdr:col>
      <xdr:colOff>257175</xdr:colOff>
      <xdr:row>10</xdr:row>
      <xdr:rowOff>152400</xdr:rowOff>
    </xdr:to>
    <xdr:sp macro="" textlink="">
      <xdr:nvSpPr>
        <xdr:cNvPr id="193560" name="Text Box 24" hidden="1">
          <a:extLst>
            <a:ext uri="{FF2B5EF4-FFF2-40B4-BE49-F238E27FC236}">
              <a16:creationId xmlns:a16="http://schemas.microsoft.com/office/drawing/2014/main" id="{6AF9A249-872B-F813-B14D-2467B2A27FCA}"/>
            </a:ext>
          </a:extLst>
        </xdr:cNvPr>
        <xdr:cNvSpPr txBox="1">
          <a:spLocks noChangeArrowheads="1"/>
        </xdr:cNvSpPr>
      </xdr:nvSpPr>
      <xdr:spPr bwMode="auto">
        <a:xfrm>
          <a:off x="1495425" y="3429000"/>
          <a:ext cx="1371600" cy="752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16</xdr:col>
      <xdr:colOff>142286</xdr:colOff>
      <xdr:row>16</xdr:row>
      <xdr:rowOff>161065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65A01E-6CFC-5186-C2BE-38AF692E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075" y="0"/>
          <a:ext cx="4714286" cy="68761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18</xdr:col>
      <xdr:colOff>75619</xdr:colOff>
      <xdr:row>7</xdr:row>
      <xdr:rowOff>28224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E145CD-1451-5C4B-F6F6-E5F7BE8D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4825" y="0"/>
          <a:ext cx="4647619" cy="28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752474</xdr:colOff>
      <xdr:row>7</xdr:row>
      <xdr:rowOff>85725</xdr:rowOff>
    </xdr:from>
    <xdr:to>
      <xdr:col>18</xdr:col>
      <xdr:colOff>95249</xdr:colOff>
      <xdr:row>30</xdr:row>
      <xdr:rowOff>56349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235F95-8420-BD95-87BA-3081C31D5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299" y="2867025"/>
          <a:ext cx="4676775" cy="640952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65</xdr:col>
      <xdr:colOff>57150</xdr:colOff>
      <xdr:row>17</xdr:row>
      <xdr:rowOff>133350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580FFE-4C18-40D8-B8D4-7536C1B85063}"/>
            </a:ext>
          </a:extLst>
        </xdr:cNvPr>
        <xdr:cNvSpPr txBox="1"/>
      </xdr:nvSpPr>
      <xdr:spPr>
        <a:xfrm>
          <a:off x="8582025" y="6572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65</xdr:col>
      <xdr:colOff>57150</xdr:colOff>
      <xdr:row>17</xdr:row>
      <xdr:rowOff>133350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27C7E0-DBDC-4D01-868C-9E7497F5C152}"/>
            </a:ext>
          </a:extLst>
        </xdr:cNvPr>
        <xdr:cNvSpPr txBox="1"/>
      </xdr:nvSpPr>
      <xdr:spPr>
        <a:xfrm>
          <a:off x="8582025" y="6572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65</xdr:col>
      <xdr:colOff>57150</xdr:colOff>
      <xdr:row>17</xdr:row>
      <xdr:rowOff>133350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D92932-F1C6-4F14-92BB-25976A29B922}"/>
            </a:ext>
          </a:extLst>
        </xdr:cNvPr>
        <xdr:cNvSpPr txBox="1"/>
      </xdr:nvSpPr>
      <xdr:spPr>
        <a:xfrm>
          <a:off x="8582025" y="6572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 editAs="oneCell">
    <xdr:from>
      <xdr:col>65</xdr:col>
      <xdr:colOff>0</xdr:colOff>
      <xdr:row>2</xdr:row>
      <xdr:rowOff>0</xdr:rowOff>
    </xdr:from>
    <xdr:to>
      <xdr:col>76</xdr:col>
      <xdr:colOff>313630</xdr:colOff>
      <xdr:row>6</xdr:row>
      <xdr:rowOff>152250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F15F623-3B16-ADA1-CF4A-50F4712D7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0275" y="666750"/>
          <a:ext cx="5561905" cy="1200000"/>
        </a:xfrm>
        <a:prstGeom prst="rect">
          <a:avLst/>
        </a:prstGeom>
      </xdr:spPr>
    </xdr:pic>
    <xdr:clientData/>
  </xdr:twoCellAnchor>
  <xdr:twoCellAnchor editAs="oneCell">
    <xdr:from>
      <xdr:col>65</xdr:col>
      <xdr:colOff>66674</xdr:colOff>
      <xdr:row>7</xdr:row>
      <xdr:rowOff>142874</xdr:rowOff>
    </xdr:from>
    <xdr:to>
      <xdr:col>76</xdr:col>
      <xdr:colOff>371474</xdr:colOff>
      <xdr:row>8</xdr:row>
      <xdr:rowOff>142874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2B3AC16-C8D3-C694-CBCA-19989F22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48899" y="2190749"/>
          <a:ext cx="5553075" cy="333375"/>
        </a:xfrm>
        <a:prstGeom prst="rect">
          <a:avLst/>
        </a:prstGeom>
      </xdr:spPr>
    </xdr:pic>
    <xdr:clientData/>
  </xdr:twoCellAnchor>
  <xdr:twoCellAnchor editAs="oneCell">
    <xdr:from>
      <xdr:col>65</xdr:col>
      <xdr:colOff>38100</xdr:colOff>
      <xdr:row>12</xdr:row>
      <xdr:rowOff>304800</xdr:rowOff>
    </xdr:from>
    <xdr:to>
      <xdr:col>76</xdr:col>
      <xdr:colOff>333375</xdr:colOff>
      <xdr:row>13</xdr:row>
      <xdr:rowOff>152365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BB29B0B-AD57-CA8A-2BBD-E4F2D05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0325" y="3552825"/>
          <a:ext cx="5543550" cy="276190"/>
        </a:xfrm>
        <a:prstGeom prst="rect">
          <a:avLst/>
        </a:prstGeom>
      </xdr:spPr>
    </xdr:pic>
    <xdr:clientData/>
  </xdr:twoCellAnchor>
  <xdr:twoCellAnchor editAs="oneCell">
    <xdr:from>
      <xdr:col>65</xdr:col>
      <xdr:colOff>47625</xdr:colOff>
      <xdr:row>14</xdr:row>
      <xdr:rowOff>419100</xdr:rowOff>
    </xdr:from>
    <xdr:to>
      <xdr:col>76</xdr:col>
      <xdr:colOff>304800</xdr:colOff>
      <xdr:row>15</xdr:row>
      <xdr:rowOff>285750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732AB27-704D-A461-C145-4383827C5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67900" y="4524375"/>
          <a:ext cx="5505450" cy="295275"/>
        </a:xfrm>
        <a:prstGeom prst="rect">
          <a:avLst/>
        </a:prstGeom>
      </xdr:spPr>
    </xdr:pic>
    <xdr:clientData/>
  </xdr:twoCellAnchor>
  <xdr:twoCellAnchor editAs="oneCell">
    <xdr:from>
      <xdr:col>65</xdr:col>
      <xdr:colOff>123824</xdr:colOff>
      <xdr:row>18</xdr:row>
      <xdr:rowOff>161925</xdr:rowOff>
    </xdr:from>
    <xdr:to>
      <xdr:col>76</xdr:col>
      <xdr:colOff>295274</xdr:colOff>
      <xdr:row>21</xdr:row>
      <xdr:rowOff>57095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5222D065-935A-5C65-B7C9-7E0120EDA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44099" y="5476875"/>
          <a:ext cx="5419725" cy="438095"/>
        </a:xfrm>
        <a:prstGeom prst="rect">
          <a:avLst/>
        </a:prstGeom>
      </xdr:spPr>
    </xdr:pic>
    <xdr:clientData/>
  </xdr:twoCellAnchor>
  <xdr:twoCellAnchor editAs="oneCell">
    <xdr:from>
      <xdr:col>65</xdr:col>
      <xdr:colOff>171450</xdr:colOff>
      <xdr:row>22</xdr:row>
      <xdr:rowOff>104775</xdr:rowOff>
    </xdr:from>
    <xdr:to>
      <xdr:col>77</xdr:col>
      <xdr:colOff>104071</xdr:colOff>
      <xdr:row>25</xdr:row>
      <xdr:rowOff>114231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0A998AE-5BAA-0D55-9DE6-D18AC70CF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53675" y="6143625"/>
          <a:ext cx="5628571" cy="552381"/>
        </a:xfrm>
        <a:prstGeom prst="rect">
          <a:avLst/>
        </a:prstGeom>
      </xdr:spPr>
    </xdr:pic>
    <xdr:clientData/>
  </xdr:twoCellAnchor>
  <xdr:twoCellAnchor editAs="oneCell">
    <xdr:from>
      <xdr:col>65</xdr:col>
      <xdr:colOff>123825</xdr:colOff>
      <xdr:row>27</xdr:row>
      <xdr:rowOff>57150</xdr:rowOff>
    </xdr:from>
    <xdr:to>
      <xdr:col>77</xdr:col>
      <xdr:colOff>161208</xdr:colOff>
      <xdr:row>29</xdr:row>
      <xdr:rowOff>57105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4333C67-CF3B-C00C-9049-E5F77DB99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6050" y="7000875"/>
          <a:ext cx="5733333" cy="361905"/>
        </a:xfrm>
        <a:prstGeom prst="rect">
          <a:avLst/>
        </a:prstGeom>
      </xdr:spPr>
    </xdr:pic>
    <xdr:clientData/>
  </xdr:twoCellAnchor>
  <xdr:twoCellAnchor editAs="oneCell">
    <xdr:from>
      <xdr:col>65</xdr:col>
      <xdr:colOff>247650</xdr:colOff>
      <xdr:row>30</xdr:row>
      <xdr:rowOff>123825</xdr:rowOff>
    </xdr:from>
    <xdr:to>
      <xdr:col>76</xdr:col>
      <xdr:colOff>142232</xdr:colOff>
      <xdr:row>32</xdr:row>
      <xdr:rowOff>95208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DB9695FE-EC13-079E-EE39-9586E3A69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29875" y="7610475"/>
          <a:ext cx="5142857" cy="333333"/>
        </a:xfrm>
        <a:prstGeom prst="rect">
          <a:avLst/>
        </a:prstGeom>
      </xdr:spPr>
    </xdr:pic>
    <xdr:clientData/>
  </xdr:twoCellAnchor>
  <xdr:twoCellAnchor editAs="oneCell">
    <xdr:from>
      <xdr:col>65</xdr:col>
      <xdr:colOff>209550</xdr:colOff>
      <xdr:row>34</xdr:row>
      <xdr:rowOff>19050</xdr:rowOff>
    </xdr:from>
    <xdr:to>
      <xdr:col>76</xdr:col>
      <xdr:colOff>380323</xdr:colOff>
      <xdr:row>36</xdr:row>
      <xdr:rowOff>47574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36108A4D-090C-33A3-5BEC-478DC373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91775" y="8229600"/>
          <a:ext cx="5419048" cy="409524"/>
        </a:xfrm>
        <a:prstGeom prst="rect">
          <a:avLst/>
        </a:prstGeom>
      </xdr:spPr>
    </xdr:pic>
    <xdr:clientData/>
  </xdr:twoCellAnchor>
  <xdr:twoCellAnchor editAs="oneCell">
    <xdr:from>
      <xdr:col>65</xdr:col>
      <xdr:colOff>161925</xdr:colOff>
      <xdr:row>38</xdr:row>
      <xdr:rowOff>0</xdr:rowOff>
    </xdr:from>
    <xdr:to>
      <xdr:col>76</xdr:col>
      <xdr:colOff>94602</xdr:colOff>
      <xdr:row>39</xdr:row>
      <xdr:rowOff>114263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79ADDF3-C35F-F536-A15C-34FEE7A8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44150" y="8953500"/>
          <a:ext cx="5180952" cy="295238"/>
        </a:xfrm>
        <a:prstGeom prst="rect">
          <a:avLst/>
        </a:prstGeom>
      </xdr:spPr>
    </xdr:pic>
    <xdr:clientData/>
  </xdr:twoCellAnchor>
  <xdr:twoCellAnchor editAs="oneCell">
    <xdr:from>
      <xdr:col>65</xdr:col>
      <xdr:colOff>219075</xdr:colOff>
      <xdr:row>39</xdr:row>
      <xdr:rowOff>171450</xdr:rowOff>
    </xdr:from>
    <xdr:to>
      <xdr:col>76</xdr:col>
      <xdr:colOff>94609</xdr:colOff>
      <xdr:row>41</xdr:row>
      <xdr:rowOff>161881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B695874-E447-98B3-8B8A-C53B5372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01300" y="9305925"/>
          <a:ext cx="5123809" cy="352381"/>
        </a:xfrm>
        <a:prstGeom prst="rect">
          <a:avLst/>
        </a:prstGeom>
      </xdr:spPr>
    </xdr:pic>
    <xdr:clientData/>
  </xdr:twoCellAnchor>
  <xdr:twoCellAnchor editAs="oneCell">
    <xdr:from>
      <xdr:col>65</xdr:col>
      <xdr:colOff>180975</xdr:colOff>
      <xdr:row>43</xdr:row>
      <xdr:rowOff>0</xdr:rowOff>
    </xdr:from>
    <xdr:to>
      <xdr:col>76</xdr:col>
      <xdr:colOff>408868</xdr:colOff>
      <xdr:row>46</xdr:row>
      <xdr:rowOff>18980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8F77666-54D6-67B3-2D14-05C005283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363200" y="9858375"/>
          <a:ext cx="5476168" cy="5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3&#45380;\E-&#50696;&#51221;&#50896;&#44032;\&#50896;&#44032;&#44228;&#49328;\2000\10\&#54872;&#44221;&#50672;&#44396;&#50896;\&#50672;&#46041;&#51228;Ds\&#48512;&#44257;&#52264;&#47049;\&#51648;&#49688;&#51312;&#51221;\&#54217;&#5346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2384;&#54868;\&#51068;&#50948;&#45824;&#44032;\&#50672;&#46028;&#45236;&#50669;&#51068;&#5094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POSAL\ELEC\345KV\EULJOO\EU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scomputer\My%20Documents\&#44204;&#51201;&#49436;\TAE%20YOUNG\&#54028;&#51452;LCD2&#45800;&#44228;\KDS\PROJECT\&#52628;%20&#54413;%20&#47161;\&#52628;&#54413;&#52572;&#513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032;&#51256;&#44032;&#49464;&#50836;\&#51076;&#49884;&#54028;&#51068;\KNK\file\0002&#46020;&#44277;&#51312;&#47749;&#5345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44608;&#50857;&#44592;\&#50641;&#49472;\GUMI4B2\&#44396;&#48120;4&#45800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120;&#46976;\&#48120;&#46976;&#50896;&#44032;&#44228;&#49328;\2004\2&#50900;\ATM(&#52397;&#54840;,LG&#50644;&#49884;&#49828;)\&#50672;&#4420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4840;&#49457;\&#54616;&#47532;&#44368;\dwg\&#46041;&#49457;\&#46972;&#47704;\&#44396;&#51312;&#44228;&#49328;\&#54868;&#46041;&#44368;\ok\&#45824;&#44396;-&#45824;&#46041;\&#44396;&#51312;&#44228;&#49328;&#49436;\&#52572;&#51333;\&#44368;&#45824;\77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gram%20Files\AutoCAD%20R14\&#49892;&#49884;\&#49569;&#46972;&#52488;&#46321;&#54617;&#44368;\&#45236;&#50669;&#49436;\&#49569;&#46972;&#52488;&#51473;&#54617;&#44368;(final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5&#45380;&#52572;&#51333;&#48372;&#44256;&#49436;\1_&#50689;&#50629;&#51088;&#47308;\1_&#51228;&#50577;&#49885;\&#44204;&#51201;&#54268;_SV(200412_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Xerxes\&#53664;&#47785;&#44592;&#49696;&#54016;\&#44397;&#45236;&#44204;&#51201;\%23%23%20&#47924;&#50577;&#49885;%20%23%2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8120;&#46976;\&#48120;&#46976;&#50896;&#44032;&#44228;&#49328;\&#49444;&#44228;&#48320;&#44221;\&#49444;&#48320;(&#51312;&#45804;&#51228;&#52636;-&#50976;&#47196;&#54268;&#49688;&#51221;)\&#44148;&#48324;&#54200;&#51665;\&#45236;&#50669;\2-02&#49324;&#53664;&#5110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700;&#51064;\D\My%20Documents\&#44204;&#51201;\&#46041;&#45224;&#54633;&#49457;\&#44288;&#47532;\FORM\XLS\EQ9900000(&#45236;&#50669;&#49436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ldokki\&#50864;&#52404;&#53685;\&#51473;&#50521;&#49440;&#53556;&#53412;\&#49688;&#47049;\13%20B(PSC)&#50504;&#46041;&#52380;\&#44368;&#4582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3&#45380;\E-&#50696;&#51221;&#50896;&#44032;\&#50896;&#44032;&#44228;&#49328;\2000\10\&#54872;&#44221;&#50672;&#44396;&#50896;\My%20Documents\&#51312;&#49324;&#51088;&#47308;\WINDOWS\EXCEL\KI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&#48512;\C\JUNG\&#45824;&#54217;\&#51222;&#5164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2&#45380;\My%20Documents\KI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3&#45380;\&#50896;&#44032;&#44228;&#49328;\4\2002&#50900;&#46300;&#52981;\KKK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3&#45380;\E-&#50696;&#51221;&#50896;&#44032;\&#50896;&#44032;&#44228;&#49328;\2000\10\&#54872;&#44221;&#50672;&#44396;&#50896;\&#50672;&#46041;&#51228;Ds\&#48512;&#44257;&#52264;&#47049;\&#51648;&#49688;&#51312;&#51221;\KKK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4788;&#50864;\&#50896;&#44032;&#44228;&#49328;\My%20Documents\&#50896;&#44032;&#44228;&#49328;\&#50896;&#44032;&#44228;&#49328;\Book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1\&#44592;&#44228;&#44277;&#50976;\DATA\PHUNGTAK\&#44592;&#4459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K\&#44032;&#51256;&#44032;&#49464;&#50836;\WINDOWS\Application%20Data\Microsoft\Templates\2000&#44221;&#51452;EXPO\07&#49437;&#51116;&#51312;&#54633;-&#49437;&#51228;&#544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02\cad00-e\HEXCEL\XLS\XL_DATA\&#44204;&#51201;\&#50629;&#52404;\HIT\&#50500;&#49328;&#44277;&#51109;\&#50500;&#49328;&#51032;&#5120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9437;&#51312;\2003&#45380;\E-&#50696;&#51221;&#50896;&#44032;\&#50896;&#44032;&#44228;&#49328;\2000\10\&#54872;&#44221;&#50672;&#44396;&#50896;\&#50896;&#44032;&#44228;&#49328;\4\2002&#50900;&#46300;&#52981;\KKK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4018\c\ESTI96\&#44053;&#51652;&#51109;&#55141;\&#54980;&#45796;&#45236;&#50669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51077;&#52272;\&#48264;&#50689;&#47196;\&#47924;&#50504;&#54616;&#49688;\&#49892;&#54665;(1)\&#45236;&#50669;&#49436;(1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7040\C&#46300;&#46972;&#51060;&#48652;\&#51077;&#52272;&#45236;&#50669;\&#44592;&#50500;&#45824;&#44368;\&#44592;&#50500;&#45824;&#4436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1775\c\ESTI96\&#44053;&#51652;&#51109;&#55141;\&#54980;&#45796;&#45236;&#50669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54620;&#44397;&#46020;&#49884;&#51452;&#53469;&#49328;&#50629;\&#54617;&#49696;&#50857;&#50669;\&#49457;&#45224;&#54032;&#44368;_&#49688;&#51656;&#48373;&#50896;&#49468;&#53552;%20&#50896;&#44032;&#49328;&#51221;\&#50896;&#44032;&#49328;&#51221;\&#48512;&#47197;1,3%20&#50868;&#50689;&#51064;&#47141;(76&#47749;),%20&#54032;&#44368;&#50857;&#47049;&#51613;&#494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건축"/>
      <sheetName val="건집"/>
      <sheetName val="경산"/>
      <sheetName val="수로교총재료집계"/>
      <sheetName val="Sheet1"/>
      <sheetName val="제-노임"/>
      <sheetName val="HD01"/>
      <sheetName val="제직재"/>
      <sheetName val="부하계산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INNER FULE"/>
      <sheetName val="적용할증"/>
      <sheetName val="연돌일위집계"/>
      <sheetName val="일위대가"/>
      <sheetName val="고소할증품"/>
      <sheetName val="특수비계공품"/>
      <sheetName val="수량산출서"/>
      <sheetName val="플랫폼집계"/>
      <sheetName val="플랫폼수량"/>
      <sheetName val="계단집계"/>
      <sheetName val="계단수량"/>
      <sheetName val="랜딩집계"/>
      <sheetName val="랜딩수량"/>
      <sheetName val="사다리집계"/>
      <sheetName val="사다리수량"/>
      <sheetName val="Sheet1"/>
      <sheetName val="연돌내역서"/>
      <sheetName val="연돌"/>
      <sheetName val="(76)배관총괄"/>
      <sheetName val="M2-1-1"/>
      <sheetName val="M2-1-2"/>
      <sheetName val="M2-1-3"/>
      <sheetName val="M2-1-4"/>
      <sheetName val="M2-1-5"/>
      <sheetName val="M2-1-6"/>
      <sheetName val="M2-1-7"/>
      <sheetName val="M2-1-8"/>
      <sheetName val="M2-1-9"/>
      <sheetName val="M2-1-10"/>
      <sheetName val="Sheet2"/>
      <sheetName val="Sheet3"/>
      <sheetName val="정산"/>
      <sheetName val="관리비"/>
      <sheetName val="기성공제"/>
      <sheetName val="실행내역"/>
      <sheetName val="1월보고(99종합)"/>
      <sheetName val="00년 1월"/>
      <sheetName val="00년 2월"/>
      <sheetName val="00년 3월"/>
      <sheetName val="00년 4월"/>
      <sheetName val="00년 5월"/>
      <sheetName val="00년상반기"/>
      <sheetName val="00년 7월"/>
      <sheetName val="00년 8월"/>
      <sheetName val="00년 9월"/>
      <sheetName val="00년10월"/>
      <sheetName val="12월가공서비스"/>
      <sheetName val="Sheet10"/>
      <sheetName val="Sheet11"/>
      <sheetName val="Sheet12"/>
      <sheetName val="Sheet13"/>
      <sheetName val="Sheet14"/>
      <sheetName val="Sheet15"/>
      <sheetName val="Sheet16"/>
      <sheetName val="그래프data"/>
      <sheetName val="정부노임단가"/>
      <sheetName val="갑지(추정)"/>
      <sheetName val="단가표"/>
      <sheetName val="㽓다리수량"/>
      <sheetName val="실행(1)"/>
      <sheetName val="공문"/>
      <sheetName val="01"/>
      <sheetName val="설계예산서"/>
      <sheetName val="노원열병합  건축공사기성내역서"/>
      <sheetName val="SG"/>
      <sheetName val="건축집계"/>
      <sheetName val="DRUM"/>
      <sheetName val="노임단가"/>
      <sheetName val="연돌내역일위"/>
      <sheetName val="PIPE내역(FCN)"/>
      <sheetName val="목표세부명세"/>
      <sheetName val="금액내역서"/>
      <sheetName val="당초"/>
      <sheetName val="품셈"/>
      <sheetName val="배관(TDI ISBL)"/>
      <sheetName val="일위대가-목록"/>
      <sheetName val="TOWER 12TON"/>
      <sheetName val="TOWER 10TON"/>
      <sheetName val="직재"/>
      <sheetName val="결과조달"/>
      <sheetName val="3.공통공사대비"/>
      <sheetName val="가시설흙막이"/>
      <sheetName val="PBS"/>
      <sheetName val="0226"/>
      <sheetName val="S003031"/>
      <sheetName val="동축분 종합설계서"/>
      <sheetName val="전기일위대가"/>
      <sheetName val="CAT_5"/>
      <sheetName val="단중"/>
      <sheetName val="품셈표"/>
      <sheetName val="TDI ISBL"/>
      <sheetName val="청산공사"/>
      <sheetName val="예가표"/>
      <sheetName val="기계설비"/>
      <sheetName val="h-013211-2"/>
      <sheetName val="공사내역"/>
      <sheetName val="D-3109"/>
      <sheetName val="실행"/>
      <sheetName val="1단계"/>
      <sheetName val="도"/>
      <sheetName val="견적"/>
      <sheetName val="#REF"/>
      <sheetName val="내"/>
      <sheetName val=" 견적서"/>
      <sheetName val="소비자가"/>
      <sheetName val="1ST"/>
      <sheetName val="PIPE"/>
      <sheetName val="FLANGE"/>
      <sheetName val="VALVE"/>
      <sheetName val="C3"/>
      <sheetName val="misc"/>
      <sheetName val="APT"/>
      <sheetName val="Sheet5"/>
      <sheetName val="집계"/>
      <sheetName val="기본일위"/>
      <sheetName val="직노"/>
      <sheetName val="I一般比"/>
      <sheetName val="내역서2안"/>
      <sheetName val="설직재-1"/>
      <sheetName val="기준"/>
      <sheetName val="금융"/>
      <sheetName val="유림골조"/>
      <sheetName val="IW-LIST"/>
      <sheetName val="세대내부"/>
      <sheetName val="내역서(총)"/>
      <sheetName val="TB-내역서"/>
      <sheetName val="안국연체"/>
      <sheetName val="현장경상비"/>
      <sheetName val="6호기"/>
      <sheetName val="Sheet4"/>
      <sheetName val="설계예시"/>
      <sheetName val="가격조사서"/>
      <sheetName val="일반부표"/>
      <sheetName val="전기"/>
      <sheetName val="일위대가(여기까지)"/>
      <sheetName val="건축(광주)"/>
      <sheetName val="INNER_FULE"/>
      <sheetName val="00년_1월"/>
      <sheetName val="00년_2월"/>
      <sheetName val="00년_3월"/>
      <sheetName val="00년_4월"/>
      <sheetName val="00년_5월"/>
      <sheetName val="00년_7월"/>
      <sheetName val="00년_8월"/>
      <sheetName val="00년_9월"/>
      <sheetName val="노원열병합__건축공사기성내역서"/>
      <sheetName val="배관(TDI_ISBL)"/>
      <sheetName val="TOWER_12TON"/>
      <sheetName val="TOWER_10TON"/>
      <sheetName val="ELECTRIC"/>
      <sheetName val="CTEMCOST"/>
      <sheetName val="SCHEDULE"/>
      <sheetName val="금융비용"/>
      <sheetName val="견적조건"/>
      <sheetName val="조건표"/>
      <sheetName val="카메라(TO양식변경)"/>
      <sheetName val="공통비총괄표"/>
      <sheetName val="지급자재"/>
      <sheetName val="제직재"/>
      <sheetName val="제-노임"/>
      <sheetName val="월별cashflow"/>
      <sheetName val="사업검토"/>
      <sheetName val="월별경비집행"/>
      <sheetName val="공사비증감"/>
      <sheetName val="6PILE  (돌출)"/>
      <sheetName val="노임"/>
      <sheetName val="품셈TABLE"/>
      <sheetName val="모니터"/>
      <sheetName val="TRE TABLE"/>
      <sheetName val="DATA"/>
      <sheetName val="내역서(증축)"/>
      <sheetName val="DATA2000"/>
      <sheetName val="B"/>
      <sheetName val="nde_request"/>
      <sheetName val="P.M 별"/>
      <sheetName val="외주계약현황"/>
      <sheetName val="자재계약내용"/>
      <sheetName val="0708"/>
      <sheetName val="부표총괄"/>
      <sheetName val="표지"/>
      <sheetName val="설계명세서(선로)"/>
      <sheetName val="수주전망영업부"/>
      <sheetName val="CALCULATION"/>
      <sheetName val="Summary"/>
      <sheetName val="24V"/>
      <sheetName val="도면자료제출일정"/>
      <sheetName val="C-301E~305E"/>
      <sheetName val="일위"/>
      <sheetName val="입상내역"/>
      <sheetName val="수문일위1"/>
      <sheetName val="Y-WORK"/>
      <sheetName val="국내"/>
      <sheetName val="sum1 (2)"/>
      <sheetName val="TG9504"/>
      <sheetName val="집계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조명시설"/>
      <sheetName val="단위중량"/>
      <sheetName val="노임단가"/>
      <sheetName val="부안일위"/>
      <sheetName val="총괄내역서"/>
      <sheetName val="소업1교"/>
      <sheetName val="인사자료총집계"/>
      <sheetName val="견적서(토공)"/>
      <sheetName val="빗물받이(910-510-410)"/>
      <sheetName val="반응조"/>
      <sheetName val="갑지"/>
      <sheetName val="6PILE  _돌출_"/>
      <sheetName val="옹벽조금수정"/>
      <sheetName val="공사비증감"/>
      <sheetName val="내역서"/>
      <sheetName val="공사비집계"/>
      <sheetName val="가격조사서"/>
      <sheetName val="3BL공동구 수량"/>
      <sheetName val="본선 토공 분배표"/>
      <sheetName val="DATE"/>
      <sheetName val="Sheet1 (2)"/>
      <sheetName val="약품설비"/>
      <sheetName val="내역표지"/>
      <sheetName val="진주방향"/>
      <sheetName val="토공 갑지"/>
      <sheetName val="업무처리전"/>
      <sheetName val="가설건물"/>
      <sheetName val="원가"/>
      <sheetName val="실정보고"/>
      <sheetName val="갑지1"/>
      <sheetName val="해전배수"/>
      <sheetName val="수문일1"/>
      <sheetName val="결과조달"/>
      <sheetName val="지하"/>
      <sheetName val="예가표"/>
      <sheetName val="U-TYPE(1)"/>
      <sheetName val="연돌일위집계"/>
      <sheetName val="포장공자재집계표"/>
      <sheetName val="2호맨홀공제수량"/>
      <sheetName val="000000"/>
      <sheetName val="참조"/>
      <sheetName val="간선계산"/>
      <sheetName val="공사비증감(P4) "/>
      <sheetName val="2.단면가정 "/>
      <sheetName val="목표세부명세"/>
      <sheetName val="#REF"/>
      <sheetName val="SIL98"/>
      <sheetName val="샘플표지"/>
      <sheetName val="말뚝지지력산정"/>
      <sheetName val="가도공"/>
      <sheetName val="단면 (2)"/>
      <sheetName val="메서,변+증"/>
      <sheetName val="실행예산"/>
      <sheetName val="SLAB&quot;1&quot;"/>
      <sheetName val="사통"/>
      <sheetName val="물가시세"/>
      <sheetName val="터파기및재료"/>
      <sheetName val="입찰안"/>
      <sheetName val="Sheet1"/>
      <sheetName val="수지표"/>
      <sheetName val="셀명"/>
      <sheetName val="총괄"/>
      <sheetName val="하도내역 (철콘)"/>
      <sheetName val="식생블럭단위수량"/>
      <sheetName val="갑지(추정)"/>
      <sheetName val="수량3"/>
      <sheetName val="총 괄 표"/>
      <sheetName val="공종단가"/>
      <sheetName val="단가"/>
      <sheetName val="노무비"/>
      <sheetName val="EQUIP"/>
      <sheetName val="공량산출서"/>
      <sheetName val="식재"/>
      <sheetName val="시설물"/>
      <sheetName val="식재출력용"/>
      <sheetName val="유지관리"/>
      <sheetName val="금액내역서"/>
      <sheetName val="일위대가"/>
      <sheetName val="장비"/>
      <sheetName val="산근1"/>
      <sheetName val="노무"/>
      <sheetName val="자재"/>
      <sheetName val="2공구산출내역"/>
      <sheetName val="오동"/>
      <sheetName val="대조"/>
      <sheetName val="나한"/>
      <sheetName val="8.PILE  (돌출)"/>
      <sheetName val="산근터빈"/>
      <sheetName val="공문"/>
      <sheetName val="COVER"/>
      <sheetName val="1,2,3,4,5단위수량"/>
      <sheetName val="배수관산출"/>
      <sheetName val="수안보-MBR1"/>
      <sheetName val="3.공통공사대비"/>
      <sheetName val="교각계산"/>
      <sheetName val="간지(1)"/>
      <sheetName val="ELECTRIC"/>
      <sheetName val="SCHEDULE"/>
      <sheetName val="포장물량집계"/>
      <sheetName val="공통비총괄표"/>
      <sheetName val="Sheet2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전차선로 물량표"/>
      <sheetName val="산출내역서"/>
      <sheetName val="실행철강하도"/>
      <sheetName val="DATA98"/>
      <sheetName val="견적의뢰서"/>
      <sheetName val="2000년1차"/>
      <sheetName val="2000전체분"/>
      <sheetName val="200"/>
      <sheetName val="세대구분"/>
      <sheetName val="Sheet4"/>
      <sheetName val="뚝토공"/>
      <sheetName val="자료"/>
      <sheetName val="밸브설치"/>
      <sheetName val="일위대가목록"/>
      <sheetName val="bid"/>
      <sheetName val="1062-X방향 "/>
      <sheetName val="발주설계서(당초)"/>
      <sheetName val="고창방향"/>
      <sheetName val="일위대가(계측기설치)"/>
      <sheetName val="기성내역"/>
      <sheetName val="경상비"/>
      <sheetName val="공사내역"/>
      <sheetName val="실행"/>
      <sheetName val="날개벽(시점좌측)"/>
      <sheetName val="시행후면적"/>
      <sheetName val="수지예산"/>
      <sheetName val="70%"/>
      <sheetName val="소비자가"/>
      <sheetName val="공통가설공사"/>
      <sheetName val="수로집계"/>
      <sheetName val="부하계산서"/>
      <sheetName val="6PILE 과속방지턱집계표!$K$12 (돌출)"/>
      <sheetName val="D200"/>
      <sheetName val="안산기계장치"/>
      <sheetName val="원형1호맨홀토공수량"/>
      <sheetName val="일위대가목차"/>
      <sheetName val="ABUT수량-A1"/>
      <sheetName val="4.2유효폭의 계산"/>
      <sheetName val="입찰"/>
      <sheetName val="현경"/>
      <sheetName val="guard(mac)"/>
      <sheetName val="Supplement2"/>
      <sheetName val="4)유동표"/>
      <sheetName val="DATA입력"/>
      <sheetName val="교각정보"/>
      <sheetName val="기기리스트"/>
      <sheetName val="DATA2000"/>
      <sheetName val="주식"/>
      <sheetName val="집계표"/>
      <sheetName val="슬래브"/>
      <sheetName val="프랜트면허"/>
      <sheetName val="토목주소"/>
      <sheetName val="CTEMCOST"/>
      <sheetName val="합천내역"/>
      <sheetName val="archi(본사)"/>
      <sheetName val="배수통관(좌)"/>
      <sheetName val="단가일람"/>
      <sheetName val="조경일람"/>
      <sheetName val="내역"/>
      <sheetName val="포장공"/>
      <sheetName val="Sheet3"/>
      <sheetName val="인건비"/>
      <sheetName val="집계표(육상)"/>
      <sheetName val="지급자재"/>
      <sheetName val="신당동집계표"/>
      <sheetName val="3.하중산정4.지지력"/>
      <sheetName val="단위수량"/>
      <sheetName val="제출내역 (2)"/>
      <sheetName val="대비"/>
      <sheetName val="TOWER 10TON"/>
      <sheetName val="TOWER 12TON"/>
      <sheetName val="수량산출내역1115"/>
      <sheetName val="배수내역"/>
      <sheetName val="도배공사언고"/>
      <sheetName val="수량산출"/>
      <sheetName val="TOTAL_BOQ"/>
      <sheetName val="BOX 본체"/>
      <sheetName val="6PILE__(돌출)"/>
      <sheetName val="배수내역(98년도분)"/>
      <sheetName val="약품공급2"/>
      <sheetName val="본부소개"/>
      <sheetName val="COPING"/>
      <sheetName val="3BL공동구_수량"/>
      <sheetName val="S.중기사용료"/>
      <sheetName val="97노임단가"/>
      <sheetName val="입력란"/>
      <sheetName val="단면A-A(TR)"/>
      <sheetName val="수량집계"/>
      <sheetName val="내역(전체)"/>
      <sheetName val="TYPE-1"/>
      <sheetName val="설계"/>
      <sheetName val="산마루측구단위수량"/>
      <sheetName val="견적서"/>
      <sheetName val="도봉2지구"/>
      <sheetName val="비목군분류일위"/>
      <sheetName val="관로토공집계표"/>
      <sheetName val="기자재비"/>
      <sheetName val="간 지1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단면B-B(EA)"/>
      <sheetName val="역T형"/>
      <sheetName val="본선차로수량집계표"/>
      <sheetName val="설계조건"/>
      <sheetName val="전기"/>
      <sheetName val="입출재고현황 (2)"/>
      <sheetName val="INPUT"/>
      <sheetName val="산출근거"/>
      <sheetName val="1호맨홀토공"/>
      <sheetName val="교통표지판수량집계표"/>
      <sheetName val="수량명세서"/>
      <sheetName val="9509"/>
      <sheetName val="토공"/>
      <sheetName val="일위(PN)"/>
      <sheetName val="갑지(집행)"/>
      <sheetName val="격점수량"/>
      <sheetName val=""/>
      <sheetName val="2002상반기노임기준"/>
      <sheetName val="외주현황.wq1"/>
      <sheetName val="J형측구단위수량"/>
      <sheetName val="소산진입"/>
      <sheetName val="Sheet15"/>
      <sheetName val="이름"/>
      <sheetName val="우수받이재료집계표"/>
      <sheetName val="6PILE+옹벽집계!$G$6+옹벽집계!$H$10  (돌출"/>
      <sheetName val="1.설계조건"/>
      <sheetName val="Quantity"/>
      <sheetName val="SG"/>
      <sheetName val="정보"/>
      <sheetName val="합의경상"/>
      <sheetName val="을 2"/>
      <sheetName val="을 1"/>
      <sheetName val="손익분석"/>
      <sheetName val="2.단면가정"/>
      <sheetName val="I一般比"/>
      <sheetName val="간접비"/>
      <sheetName val="★도급내역"/>
      <sheetName val="대림경상68억"/>
      <sheetName val="제직재"/>
      <sheetName val="설직재-1"/>
      <sheetName val="제-노임"/>
      <sheetName val="유림골조"/>
      <sheetName val="가공비"/>
      <sheetName val="설계산출표지"/>
      <sheetName val="1.토공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매립"/>
      <sheetName val="DAILY"/>
      <sheetName val="2.대외공문"/>
      <sheetName val="토적표(우안)"/>
      <sheetName val="토적표(좌안)"/>
      <sheetName val="01.견적내역서"/>
      <sheetName val="제수변수량H2.15"/>
      <sheetName val="_공기변수량"/>
      <sheetName val="경영상태"/>
      <sheetName val="최적단면"/>
      <sheetName val="변경집계표"/>
      <sheetName val="원형맨홀수량"/>
      <sheetName val="6PILE  _돌_x001c__"/>
      <sheetName val="지장물C"/>
      <sheetName val="LOB"/>
      <sheetName val="C-직노1"/>
      <sheetName val="수량집계표"/>
      <sheetName val="2.교량(신설)"/>
      <sheetName val="1NYS(당)"/>
      <sheetName val="본체"/>
      <sheetName val="공사비예산서(토목분)"/>
      <sheetName val="DRUM"/>
      <sheetName val="기계경비"/>
      <sheetName val="구조물공"/>
      <sheetName val="내역서(교량)전체"/>
      <sheetName val="대운산출"/>
      <sheetName val="교각1"/>
      <sheetName val="배수관설치현황"/>
      <sheetName val="음봉방향"/>
      <sheetName val="type-F"/>
      <sheetName val="좌측"/>
      <sheetName val="DATA"/>
      <sheetName val="건축내역서"/>
      <sheetName val="설비내역서"/>
      <sheetName val="전기내역서"/>
      <sheetName val="6PILE___돌출_"/>
      <sheetName val="부하(성남)"/>
      <sheetName val="직재"/>
      <sheetName val="40총괄"/>
      <sheetName val="민자토목설변1차"/>
      <sheetName val="당초"/>
      <sheetName val="3련 BOX"/>
      <sheetName val="중기사용료"/>
      <sheetName val="일위"/>
      <sheetName val="골재및자재집계표"/>
      <sheetName val="수문보고"/>
      <sheetName val="할증 "/>
      <sheetName val="정부노임단가"/>
      <sheetName val="견적대비표"/>
      <sheetName val="침하계"/>
      <sheetName val="노임"/>
      <sheetName val="사유서제출현황-2"/>
      <sheetName val="평가데이터"/>
      <sheetName val="교대(A1-A2)"/>
      <sheetName val="설비"/>
      <sheetName val="실행내역서"/>
      <sheetName val="참고사항"/>
      <sheetName val="근로자자료입력"/>
      <sheetName val="토목"/>
      <sheetName val="기계(집계표)"/>
      <sheetName val="가설사무소수량집계"/>
      <sheetName val="깨기"/>
      <sheetName val="건설기계_목록"/>
      <sheetName val="96보완계획7.12"/>
      <sheetName val="코드표"/>
      <sheetName val="여과지동"/>
      <sheetName val="기초자료"/>
      <sheetName val="토사(PE)"/>
      <sheetName val="가압장구체수량산출서"/>
      <sheetName val="20-6(L)"/>
      <sheetName val="관로조사공"/>
      <sheetName val="토공계산서(부체도로)"/>
      <sheetName val="돌담교 상부수량"/>
      <sheetName val="바닥판"/>
      <sheetName val="BOX(1.5X1.5)"/>
      <sheetName val="CAL(1)."/>
      <sheetName val="12CGOU"/>
      <sheetName val="Bend_fact "/>
      <sheetName val="요약배부"/>
      <sheetName val="주관사업"/>
      <sheetName val="STAFF ANALYSIS"/>
      <sheetName val="C"/>
      <sheetName val="AN-01"/>
      <sheetName val="PRICES"/>
      <sheetName val="골조시행"/>
      <sheetName val="ASP 일반구간_250A"/>
      <sheetName val="예상"/>
      <sheetName val="기계경비일람"/>
      <sheetName val="단가산출서"/>
      <sheetName val="대,유,램"/>
      <sheetName val="허용지지력"/>
      <sheetName val="Output"/>
      <sheetName val="에너지동"/>
      <sheetName val="중기목록표"/>
      <sheetName val="계화총괄"/>
      <sheetName val="계화배수(3대)"/>
      <sheetName val="교량전기"/>
      <sheetName val="김여중"/>
      <sheetName val="방음벽기초"/>
      <sheetName val="날개벽"/>
      <sheetName val="우각부보강"/>
      <sheetName val="수로단위수량"/>
      <sheetName val="우수받이"/>
      <sheetName val="옹벽"/>
      <sheetName val="자재집계표"/>
      <sheetName val="일위대가1"/>
      <sheetName val="입상내역"/>
      <sheetName val="96노임기준"/>
      <sheetName val="기본"/>
      <sheetName val="차액보증"/>
      <sheetName val="2000시행예상"/>
      <sheetName val="YES-T"/>
      <sheetName val="단가조사"/>
      <sheetName val="철근량"/>
      <sheetName val="국공유지및사유지"/>
      <sheetName val="4-1.노무비(직영)"/>
      <sheetName val="01.인원현황 (계획)"/>
      <sheetName val="조건표"/>
      <sheetName val="예정(3)"/>
      <sheetName val="동원(3)"/>
      <sheetName val="9GNG운반"/>
      <sheetName val="기계경비적용기준"/>
      <sheetName val="배수공"/>
      <sheetName val="간지"/>
      <sheetName val="자금신청서"/>
      <sheetName val="단위단가"/>
      <sheetName val="대부예산서"/>
      <sheetName val="기초공"/>
      <sheetName val="기둥(원형)"/>
      <sheetName val="데리네이타현황"/>
      <sheetName val="가옥철거"/>
      <sheetName val="산출근거(S4)"/>
      <sheetName val="P.M 별"/>
      <sheetName val="토적계산"/>
      <sheetName val="관급총괄"/>
      <sheetName val="무근깨기"/>
      <sheetName val="칠산대교 중앙부"/>
      <sheetName val="칠산대교 시종점부"/>
      <sheetName val="비탈면보호공수량산출"/>
      <sheetName val="BOX"/>
      <sheetName val="전기일위대가"/>
      <sheetName val="일반수량"/>
      <sheetName val="당초내역서"/>
      <sheetName val="토공 total"/>
      <sheetName val="I.설계조건"/>
      <sheetName val="설계내역"/>
      <sheetName val="자재(설치)"/>
      <sheetName val="지장물조서"/>
      <sheetName val="BOX-1510"/>
      <sheetName val="연습"/>
      <sheetName val="1을"/>
      <sheetName val="마감사양"/>
      <sheetName val="수입"/>
      <sheetName val="부대공"/>
      <sheetName val="CIVIL4"/>
      <sheetName val="1.수인터널"/>
      <sheetName val="낙찰표"/>
      <sheetName val="보차도경계석"/>
      <sheetName val="횡배날개"/>
      <sheetName val="화전내"/>
      <sheetName val="하천하류 철근수량 집계표"/>
      <sheetName val="건축"/>
      <sheetName val="집수정"/>
      <sheetName val="현장관리비"/>
      <sheetName val="계산근거"/>
      <sheetName val="woo(mac)"/>
      <sheetName val="계약용량(서포)"/>
      <sheetName val="A1(토공)"/>
      <sheetName val="A1(구조물)"/>
      <sheetName val="수량집계(1)"/>
      <sheetName val="철근집계표"/>
      <sheetName val="포장직선구간"/>
      <sheetName val="Sheet17"/>
      <sheetName val="맨홀수량산출"/>
      <sheetName val="품셈TABLE"/>
      <sheetName val="총수량 (기성)"/>
      <sheetName val="운반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신표지1"/>
      <sheetName val="부대토목"/>
      <sheetName val="우수"/>
      <sheetName val="관급자재대"/>
      <sheetName val="내역-가"/>
      <sheetName val="1단계"/>
      <sheetName val="집계표(OPTION)"/>
      <sheetName val="L형집계"/>
      <sheetName val="IW-LIST"/>
      <sheetName val="금융비용"/>
      <sheetName val="T.T.P 단위수량"/>
      <sheetName val="J01"/>
      <sheetName val="의뢰서"/>
      <sheetName val="설계예시"/>
      <sheetName val="전선 및 전선관"/>
      <sheetName val="중기비"/>
      <sheetName val="이토변실(A3-LINE)"/>
      <sheetName val="수량산출서"/>
      <sheetName val="을"/>
      <sheetName val="전력구구조물산근"/>
      <sheetName val="A-4"/>
      <sheetName val="DHEQSUPT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건축물터파기"/>
      <sheetName val="단가대비표"/>
      <sheetName val="전기혼잡제경비(45)"/>
      <sheetName val="Pier 3"/>
      <sheetName val="증감내역"/>
      <sheetName val="loading"/>
      <sheetName val="STEEL BOX 단면설계(SEC.8)"/>
      <sheetName val="단위자갈수량1"/>
      <sheetName val="견적서세부내용"/>
      <sheetName val="견적내용입력"/>
      <sheetName val="찍기"/>
      <sheetName val="TYPE-A"/>
      <sheetName val="토공-내역"/>
      <sheetName val="단가조사표"/>
      <sheetName val="6공구(당초)"/>
      <sheetName val="산출근거-S1"/>
      <sheetName val="중기"/>
      <sheetName val="전체변경예정공정표_2012.07.30"/>
      <sheetName val="Sheet13"/>
      <sheetName val="Sheet14"/>
      <sheetName val="GEN"/>
      <sheetName val="일위대가(1)"/>
      <sheetName val="수량"/>
      <sheetName val="단면가정"/>
      <sheetName val="일위대가표"/>
      <sheetName val="총괄표"/>
      <sheetName val="주요자재집계"/>
      <sheetName val="개요"/>
      <sheetName val="3절_CheckList_구분"/>
      <sheetName val="일위대가(가설)"/>
      <sheetName val="용산1(해보)"/>
      <sheetName val="일위대가-1"/>
      <sheetName val="횡배수관"/>
      <sheetName val="모델링"/>
      <sheetName val="하중계산"/>
      <sheetName val="품"/>
      <sheetName val="직공시공계획서"/>
      <sheetName val="단가산출"/>
      <sheetName val="인부노임"/>
      <sheetName val="직노"/>
      <sheetName val="_x0018__x0000_℀"/>
      <sheetName val="6PILE (돌출)"/>
      <sheetName val="부대내역"/>
      <sheetName val="부표총괄"/>
      <sheetName val="2.하중산정"/>
      <sheetName val="설계내역서"/>
      <sheetName val="설계내역(2001)"/>
      <sheetName val="현황"/>
      <sheetName val="N賃率-職"/>
      <sheetName val="기초INPUT"/>
      <sheetName val="1.설계기준"/>
      <sheetName val="철집"/>
      <sheetName val="실행대비"/>
      <sheetName val="6PILE  _돌_x005f_x001c__"/>
      <sheetName val="횡배위치"/>
      <sheetName val="교차구"/>
      <sheetName val="일반공사"/>
      <sheetName val="저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공틀공사"/>
      <sheetName val="영동(D)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일위8"/>
      <sheetName val="일위9"/>
      <sheetName val="철거산출근거"/>
      <sheetName val="단위수량산출"/>
      <sheetName val="목록"/>
      <sheetName val="자재단가표"/>
      <sheetName val="조합일"/>
      <sheetName val="철거일"/>
      <sheetName val="중기목록"/>
      <sheetName val="운반단가"/>
      <sheetName val="우수맨홀공제단위수량"/>
      <sheetName val="REINF."/>
      <sheetName val="화재 탐지 설비"/>
      <sheetName val="표지"/>
      <sheetName val="입찰내역 발주처 양식"/>
      <sheetName val="토목검측서"/>
      <sheetName val="건축내역"/>
      <sheetName val="INPUTDATA"/>
      <sheetName val="연결관암거"/>
      <sheetName val="흥양2교토공집계표"/>
      <sheetName val="JUCKEYK"/>
      <sheetName val="구체"/>
      <sheetName val="좌측날개벽"/>
      <sheetName val="우측날개벽"/>
      <sheetName val="tggwan(mac)"/>
      <sheetName val="우수공"/>
      <sheetName val="계수시트"/>
      <sheetName val="기존-내역"/>
      <sheetName val="트랜치 집수정 연결관-연장산출서"/>
      <sheetName val="배수장토목공사비"/>
      <sheetName val="옹벽집계표"/>
      <sheetName val="마산방향"/>
      <sheetName val="이형관격점별수량산출(2)"/>
      <sheetName val="외자배분"/>
      <sheetName val="외자내역"/>
      <sheetName val="시멘트 및 골재량 (슬래브)"/>
      <sheetName val="시멘트 및 골재량 (거더)"/>
      <sheetName val="포장총괄집계표"/>
      <sheetName val="품의"/>
      <sheetName val="단가비교"/>
      <sheetName val="6월인원"/>
      <sheetName val="단가산출2"/>
      <sheetName val="중기사용료산출근거"/>
      <sheetName val="과속방지턱"/>
      <sheetName val="부대토공"/>
      <sheetName val="차선위치조서"/>
      <sheetName val="상부공"/>
      <sheetName val="추진공"/>
      <sheetName val="가시설(TYPE-A)"/>
      <sheetName val="1호맨홀가감수량"/>
      <sheetName val="1-1평균터파기고(1)"/>
      <sheetName val="1호맨홀수량산출"/>
      <sheetName val="날개벽수량표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01. 지사동"/>
      <sheetName val="총집계"/>
      <sheetName val="직원인원"/>
      <sheetName val="업체선정"/>
      <sheetName val="1련박스"/>
      <sheetName val="주형"/>
      <sheetName val="표준단면수량(출력안함)"/>
      <sheetName val="GAEYO"/>
      <sheetName val="토공사"/>
      <sheetName val="공종별내역서"/>
      <sheetName val="광주전남"/>
      <sheetName val="A LINE"/>
      <sheetName val="C.배수관공"/>
      <sheetName val="옹벽식측구단위"/>
      <sheetName val="자재 집계표"/>
      <sheetName val="견적"/>
      <sheetName val="대목"/>
      <sheetName val="단면검토"/>
      <sheetName val="MATERIAL"/>
      <sheetName val="토공산출(시)"/>
      <sheetName val="토공산출(포)"/>
      <sheetName val="배명(단가)"/>
      <sheetName val="상반기손익차2총괄"/>
      <sheetName val="토공정보"/>
      <sheetName val="집수정(600-700)"/>
      <sheetName val="입력시트"/>
      <sheetName val="CODE"/>
      <sheetName val="MOTOR"/>
      <sheetName val="경산"/>
      <sheetName val="공사명입력"/>
      <sheetName val="참고자료"/>
      <sheetName val="데이타"/>
      <sheetName val="임목폐기물집계"/>
      <sheetName val="A1-DATA"/>
      <sheetName val="단면"/>
      <sheetName val="시중노임"/>
      <sheetName val="Finansal tamamlanma Eğrisi"/>
      <sheetName val="TESİSAT"/>
      <sheetName val="Finansal_tamamlanma_Eğrisi"/>
      <sheetName val="구조물철거개소별명세"/>
      <sheetName val="공사개요"/>
      <sheetName val="보험료산출"/>
      <sheetName val="산출내역(4월)"/>
      <sheetName val="산출내역(5월) (2)"/>
      <sheetName val="EP0618"/>
      <sheetName val="교대(A1)"/>
      <sheetName val="1공구산출내역서"/>
      <sheetName val="우수관로단위수량(300)"/>
      <sheetName val="흄관기초"/>
      <sheetName val="1호맨홀가시설토공(2~4)"/>
      <sheetName val="1호맨홀토공 (4)"/>
      <sheetName val="1호맨홀연결관토공 (2)"/>
      <sheetName val="6PILE_______G_6_______H_10____2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Eq. Mobilization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3BL공동구_수량1"/>
      <sheetName val="6PILE___돌출_1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2_단면가정_1"/>
      <sheetName val="CAL(1)_1"/>
      <sheetName val="Bend_fact_1"/>
      <sheetName val="STAFF_ANALYSIS1"/>
      <sheetName val="하도내역_(철콘)1"/>
      <sheetName val="Sheet1_(2)1"/>
      <sheetName val="ASP_일반구간_250A"/>
      <sheetName val="Part_AB"/>
      <sheetName val="Part_I"/>
      <sheetName val="Part_M"/>
      <sheetName val="간_지1"/>
      <sheetName val="할증_"/>
      <sheetName val="6PILE+옹벽집계!$G$6+옹벽집계!$H$10__(돌출"/>
      <sheetName val="01_견적내역서"/>
      <sheetName val="S_중기사용료"/>
      <sheetName val="2_교량(신설)"/>
      <sheetName val="I_설계조건"/>
      <sheetName val="01_인원현황_(계획)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수자재단위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설계내역서"/>
      <sheetName val="현장경비"/>
      <sheetName val="#REF"/>
      <sheetName val="공사개요"/>
      <sheetName val="단가"/>
      <sheetName val="교대(A1-A2)"/>
      <sheetName val="내역서"/>
      <sheetName val="대비"/>
      <sheetName val="Dae_Jiju"/>
      <sheetName val="Sikje_ingun"/>
      <sheetName val="TREE_D"/>
      <sheetName val="건축내역"/>
      <sheetName val="사용성검토"/>
      <sheetName val="일위대가"/>
      <sheetName val="실행내역"/>
      <sheetName val="교대(A1)"/>
      <sheetName val="견적의뢰서"/>
      <sheetName val="배수공"/>
      <sheetName val="집계표"/>
      <sheetName val="BID"/>
      <sheetName val="Sheet1 (2)"/>
      <sheetName val="가격조사서"/>
      <sheetName val="청천내"/>
      <sheetName val="해평견적"/>
      <sheetName val="물가변동 총괄서"/>
      <sheetName val="수량조서(신)"/>
      <sheetName val="금액내역서"/>
      <sheetName val="공통가설"/>
      <sheetName val="공사비총괄표"/>
      <sheetName val="별표총괄"/>
      <sheetName val="총괄내역서"/>
      <sheetName val="EUL"/>
      <sheetName val="노임"/>
      <sheetName val="실행철강하도"/>
      <sheetName val="부하(성남)"/>
      <sheetName val="조명시설"/>
      <sheetName val="제잡비"/>
      <sheetName val="인건비"/>
      <sheetName val="도시가스현황"/>
      <sheetName val="대림경상68억"/>
      <sheetName val="제수"/>
      <sheetName val="공기"/>
      <sheetName val="양수장(기계)"/>
      <sheetName val="일H35Y4"/>
      <sheetName val="부속동"/>
      <sheetName val="방배동내역(리라)"/>
      <sheetName val="건축공사집계표"/>
      <sheetName val="방배동내역 (총괄)"/>
      <sheetName val="부대공사총괄"/>
      <sheetName val="낙찰표"/>
      <sheetName val="재료비"/>
      <sheetName val="시공여유율"/>
      <sheetName val="수량집계"/>
      <sheetName val="공종별"/>
      <sheetName val="Sheet1"/>
      <sheetName val="기초1"/>
      <sheetName val="저"/>
      <sheetName val="MIJIBI"/>
      <sheetName val="동력부하계산"/>
      <sheetName val="장비집계"/>
      <sheetName val="설계조건"/>
      <sheetName val="7.1유효폭"/>
      <sheetName val="ASALTOTA"/>
      <sheetName val="내역"/>
      <sheetName val="간접"/>
      <sheetName val="변경내역대비표(2)"/>
      <sheetName val="단면 (2)"/>
      <sheetName val="경비"/>
      <sheetName val="노무비계"/>
      <sheetName val="허용전류-IEC"/>
      <sheetName val="허용전류-IEC DATA"/>
      <sheetName val="취수탑"/>
      <sheetName val="증감내역서"/>
      <sheetName val="단위단가"/>
      <sheetName val="중기사용료"/>
      <sheetName val="새공통"/>
      <sheetName val="대전-교대(A1-A2)"/>
      <sheetName val="맨홀수량"/>
      <sheetName val="Sheet17"/>
      <sheetName val="현황산출서"/>
      <sheetName val="부하계산서"/>
      <sheetName val="DATE"/>
      <sheetName val="인사자료총집계"/>
      <sheetName val="TEST1"/>
      <sheetName val="평가데이터"/>
      <sheetName val="Sheet3"/>
      <sheetName val="노임단가"/>
      <sheetName val="현장관리비"/>
      <sheetName val="36+45-113-18+19+20I"/>
      <sheetName val="정부노임단가"/>
      <sheetName val="데이타"/>
      <sheetName val="방배동내역(한영)"/>
      <sheetName val="도급"/>
      <sheetName val="갑지1"/>
      <sheetName val="토사(PE)"/>
      <sheetName val="구조물견적"/>
      <sheetName val="Y-WORK"/>
      <sheetName val="물가시세"/>
      <sheetName val="자료"/>
      <sheetName val="INPUT"/>
      <sheetName val="프랜트면허"/>
      <sheetName val="토목주소"/>
      <sheetName val="현장관리비 산출내역"/>
      <sheetName val="수량3"/>
      <sheetName val="노무비단가"/>
      <sheetName val="단면치수"/>
      <sheetName val="EQUIP LIST"/>
      <sheetName val="기계경비일람"/>
      <sheetName val="뚝토공"/>
      <sheetName val="공사비예산서(토목분)"/>
      <sheetName val="본선 토공 분배표"/>
      <sheetName val="기본단가"/>
      <sheetName val="특수선일위대가"/>
      <sheetName val="출자한도"/>
      <sheetName val="침하계"/>
      <sheetName val="3.공통공사대비"/>
      <sheetName val="대로근거"/>
      <sheetName val="중로근거"/>
      <sheetName val="갑지(추정)"/>
      <sheetName val="경비2내역"/>
      <sheetName val="을 2"/>
      <sheetName val="을 1"/>
      <sheetName val="토공 갑지"/>
      <sheetName val="구조물철거타공정이월"/>
      <sheetName val="장비내역서"/>
      <sheetName val="물량"/>
      <sheetName val="원형1호맨홀토공수량"/>
      <sheetName val="장비"/>
      <sheetName val="산근1"/>
      <sheetName val="노무"/>
      <sheetName val="자재"/>
      <sheetName val="BOX 본체"/>
      <sheetName val="000000"/>
      <sheetName val="D01"/>
      <sheetName val="D02"/>
      <sheetName val="공문"/>
      <sheetName val="CIVIL"/>
      <sheetName val="단가비교표"/>
      <sheetName val="단가조사표"/>
      <sheetName val="제경비"/>
      <sheetName val="실적"/>
      <sheetName val="입력(K0)"/>
      <sheetName val="노무비"/>
      <sheetName val="바닥판"/>
      <sheetName val="CTEMCOST"/>
      <sheetName val="지급자재"/>
      <sheetName val="총공사내역서"/>
      <sheetName val="건축공사실행"/>
      <sheetName val="예가표"/>
      <sheetName val="주식"/>
      <sheetName val="1-1"/>
      <sheetName val="내역1"/>
      <sheetName val="각사별공사비분개 "/>
      <sheetName val="터널전기"/>
      <sheetName val="입찰안"/>
      <sheetName val="자재단가"/>
      <sheetName val="총괄표"/>
      <sheetName val="1,2,3,4,5단위수량"/>
      <sheetName val="JUCKEYK"/>
      <sheetName val="MAT"/>
      <sheetName val="설계개요"/>
      <sheetName val="기계경비(시간당)"/>
      <sheetName val="램머"/>
      <sheetName val="차액보증"/>
      <sheetName val="영동(D)"/>
      <sheetName val="해외법인"/>
      <sheetName val="SG"/>
      <sheetName val="변수데이타"/>
      <sheetName val="붙임5"/>
      <sheetName val="작업방"/>
      <sheetName val="총괄k"/>
      <sheetName val="개요"/>
      <sheetName val="마감사양"/>
      <sheetName val="D-3109"/>
      <sheetName val="ABUT수량-A1"/>
      <sheetName val="1.취수장"/>
      <sheetName val="Sheet1_(2)"/>
      <sheetName val="물가변동_총괄서"/>
      <sheetName val="방배동내역_(총괄)"/>
      <sheetName val="허용전류-IEC_DATA"/>
      <sheetName val="7_1유효폭"/>
      <sheetName val="현장관리비_산출내역"/>
      <sheetName val="본선_토공_분배표"/>
      <sheetName val="EQUIP_LIST"/>
      <sheetName val="단면_(2)"/>
      <sheetName val="6호기"/>
      <sheetName val="일위대가표"/>
      <sheetName val="찍기"/>
      <sheetName val="별표"/>
      <sheetName val="자재조사표"/>
      <sheetName val="설계흐름도"/>
      <sheetName val="전기"/>
      <sheetName val="9811"/>
      <sheetName val="Sheet5"/>
      <sheetName val="L-type"/>
      <sheetName val="수량산출"/>
      <sheetName val="표지"/>
      <sheetName val="발생토"/>
      <sheetName val="자재수량"/>
      <sheetName val="공내역서"/>
      <sheetName val="정SW_원_"/>
      <sheetName val=" "/>
      <sheetName val="WORK"/>
      <sheetName val="9GNG운반"/>
      <sheetName val="계수시트"/>
      <sheetName val="일년TOTAL"/>
      <sheetName val="식재인부"/>
      <sheetName val="간접비"/>
      <sheetName val="유기공정"/>
      <sheetName val="Sheet2"/>
      <sheetName val="적용률"/>
      <sheetName val="견적대비표"/>
      <sheetName val="70%"/>
      <sheetName val="JUCK"/>
      <sheetName val="현장지지물물량"/>
      <sheetName val="6PILE  (돌출)"/>
      <sheetName val="TB-내역서"/>
      <sheetName val="Pier 3"/>
      <sheetName val="결과조달"/>
      <sheetName val="용수간선"/>
      <sheetName val="안전건강연금"/>
      <sheetName val="건축실적"/>
      <sheetName val="고용퇴직"/>
      <sheetName val="입력"/>
      <sheetName val="기계실적"/>
      <sheetName val="물가기준년"/>
      <sheetName val="노임산재"/>
      <sheetName val="장비기준"/>
      <sheetName val="조경수목"/>
      <sheetName val="토목실적"/>
      <sheetName val="산출금액내역"/>
      <sheetName val="2006납품"/>
      <sheetName val="연돌일위집계"/>
      <sheetName val="COVER-P"/>
      <sheetName val="정렬"/>
      <sheetName val="터널조도"/>
      <sheetName val="소요자재"/>
      <sheetName val="노무산출서"/>
      <sheetName val="공문(신)"/>
      <sheetName val="와동25-3(변경)"/>
      <sheetName val="암거날개벽"/>
      <sheetName val="기초"/>
      <sheetName val="U-TYPE(1)"/>
      <sheetName val="맨홀토공산출"/>
      <sheetName val="노임이"/>
      <sheetName val="부도어음"/>
      <sheetName val="골조시행"/>
      <sheetName val="간선계산"/>
      <sheetName val="관로토공"/>
      <sheetName val="1호맨홀토공"/>
      <sheetName val="신천교(음성)"/>
      <sheetName val="7-3단면_상시"/>
      <sheetName val="기성집계"/>
      <sheetName val="결재갑지"/>
      <sheetName val="일위대가(건축)"/>
      <sheetName val="표준건축비"/>
      <sheetName val="S1"/>
      <sheetName val="단위중기"/>
      <sheetName val="수량집계표"/>
      <sheetName val="공종별수량집계"/>
      <sheetName val="기기리스트"/>
      <sheetName val="금융비용"/>
      <sheetName val="외자배분"/>
      <sheetName val="외자내역"/>
      <sheetName val="3련 BOX"/>
      <sheetName val="기성금내역서"/>
      <sheetName val="수정2"/>
      <sheetName val="시설일위"/>
      <sheetName val="식재수량표"/>
      <sheetName val="식재일위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Tender"/>
      <sheetName val="BOX(1.5X1.5)"/>
      <sheetName val="배명(단가)"/>
      <sheetName val="Sheet4"/>
      <sheetName val="을"/>
      <sheetName val="전체"/>
      <sheetName val="수목단가"/>
      <sheetName val="시설수량표"/>
      <sheetName val="기초단가"/>
      <sheetName val="조건표"/>
      <sheetName val="자바라1"/>
      <sheetName val="해외 연수비용 계산-삭제"/>
      <sheetName val="해외 기술훈련비 (합계)"/>
      <sheetName val="중기일위대가"/>
      <sheetName val="2000년1차"/>
      <sheetName val="적용단가"/>
      <sheetName val="K55수출"/>
      <sheetName val="c_balju"/>
      <sheetName val="국공유지및사유지"/>
      <sheetName val="2"/>
      <sheetName val="TYPE A"/>
      <sheetName val="기둥(원형)"/>
      <sheetName val="방송(체육관)"/>
      <sheetName val="구성비"/>
      <sheetName val="9"/>
      <sheetName val="WEON"/>
      <sheetName val="Total"/>
      <sheetName val="식재"/>
      <sheetName val="시설물"/>
      <sheetName val="식재출력용"/>
      <sheetName val="유지관리"/>
      <sheetName val="Sheet6"/>
      <sheetName val="FORM-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기경집계"/>
      <sheetName val="매립"/>
      <sheetName val="시설물일위"/>
      <sheetName val="전라자금"/>
      <sheetName val="9509"/>
      <sheetName val="단가산출1"/>
      <sheetName val="단가산출2"/>
      <sheetName val="목표세부명세"/>
      <sheetName val="설비원가"/>
      <sheetName val="5사남"/>
      <sheetName val="설계기준"/>
      <sheetName val="옹벽(수량)"/>
      <sheetName val="T기성9605"/>
      <sheetName val="12호기내역서(건축분)"/>
      <sheetName val="품셈TABLE"/>
      <sheetName val="옹벽수량집계"/>
      <sheetName val="1SPAN"/>
      <sheetName val="Baby일위대가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산출근거"/>
      <sheetName val="2000년 공정표"/>
      <sheetName val="철거산출근거"/>
      <sheetName val="1안98Billing"/>
      <sheetName val="1ST"/>
      <sheetName val="1공구 건정토건 토공"/>
      <sheetName val="장비투입 (2)"/>
      <sheetName val="메서,변+증"/>
      <sheetName val="CC16-내역서"/>
      <sheetName val="건축"/>
      <sheetName val="장문교(대전)"/>
      <sheetName val="영업2"/>
      <sheetName val="날개벽수량표"/>
      <sheetName val="수문보고"/>
      <sheetName val="광산내역"/>
      <sheetName val="날개벽(시점좌측)"/>
      <sheetName val="참조"/>
      <sheetName val="산출내역서집계표"/>
      <sheetName val="경영상태"/>
      <sheetName val="96까지"/>
      <sheetName val="97년"/>
      <sheetName val="98이후"/>
      <sheetName val="1.설계조건"/>
      <sheetName val="수량명세서"/>
      <sheetName val="#10거푸집유로폼(0~7m)"/>
      <sheetName val="상부하중"/>
      <sheetName val="풍하중1"/>
      <sheetName val="예산총괄표"/>
      <sheetName val="L형옹벽단위수량(35)"/>
      <sheetName val="L형옹벽단위수량(25)"/>
      <sheetName val="단기차입금"/>
      <sheetName val="포장물량집계"/>
      <sheetName val="C &amp; G RHS"/>
      <sheetName val="공사내역"/>
      <sheetName val="jobhist"/>
      <sheetName val="실시공"/>
      <sheetName val="기지국"/>
      <sheetName val="원가1(기계)"/>
      <sheetName val="건축공사요약표"/>
      <sheetName val="집계내역서(가압장)"/>
      <sheetName val="Sheet1_(2)1"/>
      <sheetName val="방배동내역_(총괄)1"/>
      <sheetName val="물가변동_총괄서1"/>
      <sheetName val="허용전류-IEC_DATA1"/>
      <sheetName val="7_1유효폭1"/>
      <sheetName val="단면_(2)1"/>
      <sheetName val="EQUIP_LIST1"/>
      <sheetName val="현장관리비_산출내역1"/>
      <sheetName val="본선_토공_분배표1"/>
      <sheetName val="3_공통공사대비"/>
      <sheetName val="을_2"/>
      <sheetName val="을_1"/>
      <sheetName val="토공_갑지"/>
      <sheetName val="BOX_본체"/>
      <sheetName val="Pier_3"/>
      <sheetName val="각사별공사비분개_"/>
      <sheetName val="_"/>
      <sheetName val="6PILE__(돌출)"/>
      <sheetName val="1_취수장"/>
      <sheetName val="3련_BOX"/>
      <sheetName val="해외_연수비용_계산-삭제"/>
      <sheetName val="해외_기술훈련비_(합계)"/>
      <sheetName val="부대내역"/>
      <sheetName val="일위대가(가설)"/>
      <sheetName val="Man Hole"/>
      <sheetName val="유용원석량소요시기검토안"/>
      <sheetName val="1차설계변경내역"/>
      <sheetName val="공사수행방안"/>
      <sheetName val="단면가정"/>
      <sheetName val="내역서 "/>
      <sheetName val="조경"/>
      <sheetName val="토공사(단지)"/>
      <sheetName val="EKOG10건축"/>
      <sheetName val="시추주상도"/>
      <sheetName val="백암비스타내역"/>
      <sheetName val="지질조사분석"/>
      <sheetName val="ITB COST"/>
      <sheetName val="BSD (2)"/>
      <sheetName val="DATA"/>
      <sheetName val="공내역"/>
      <sheetName val="토목품셈"/>
      <sheetName val="제품"/>
      <sheetName val="CLAUSE"/>
      <sheetName val="CATCH BASIN"/>
      <sheetName val="COPING"/>
      <sheetName val="guard(mac)"/>
      <sheetName val="입출재고현황 (2)"/>
      <sheetName val="CODE"/>
      <sheetName val="실행대비"/>
      <sheetName val="손익분석"/>
      <sheetName val="SLAB&quot;1&quot;"/>
      <sheetName val="유림골조"/>
      <sheetName val="일위대가목차"/>
      <sheetName val="투자효율분석"/>
      <sheetName val="설계명세서"/>
      <sheetName val="°©Áö"/>
      <sheetName val="DANGA"/>
      <sheetName val="전기일위대가"/>
      <sheetName val="교각계산"/>
      <sheetName val="L_type"/>
      <sheetName val="증감대비"/>
      <sheetName val="변경원가서갑"/>
      <sheetName val="선로정수계산"/>
      <sheetName val="CON포장수량"/>
      <sheetName val="ACUNIT"/>
      <sheetName val="CONUNIT"/>
      <sheetName val="포장공"/>
      <sheetName val="화전내"/>
      <sheetName val="2000용수잠관-수량집계"/>
      <sheetName val="변경내역"/>
      <sheetName val="신림자금"/>
      <sheetName val="간지"/>
      <sheetName val="흐름도"/>
      <sheetName val="수질정화시설"/>
      <sheetName val="신우"/>
      <sheetName val="과천MAIN"/>
      <sheetName val="간접1"/>
      <sheetName val="물량표"/>
      <sheetName val="교대시점"/>
      <sheetName val="비탈면보호공수량산출"/>
      <sheetName val="STRA2"/>
      <sheetName val="기성내역"/>
      <sheetName val="F4-F7"/>
      <sheetName val="입찰내역"/>
      <sheetName val="토공산출(주차장)"/>
      <sheetName val="설계서"/>
      <sheetName val="TYPE-A"/>
      <sheetName val="은행"/>
      <sheetName val="5.3 단면가정"/>
      <sheetName val="설비"/>
      <sheetName val="200"/>
      <sheetName val="공통자료"/>
      <sheetName val="산출2-기기동력"/>
      <sheetName val="당초"/>
      <sheetName val="관급자재집계표"/>
      <sheetName val="배수유공블럭"/>
      <sheetName val="교각1"/>
      <sheetName val="공사비집계"/>
      <sheetName val="40총괄"/>
      <sheetName val="40집계"/>
      <sheetName val="말뚝지지력산정"/>
      <sheetName val="ELECTRIC"/>
      <sheetName val="SCHEDULE"/>
      <sheetName val="C-직노1"/>
      <sheetName val="data2"/>
      <sheetName val="관로토공집계표"/>
      <sheetName val="단가 "/>
      <sheetName val="일위대가 (PM)"/>
      <sheetName val="S003031"/>
      <sheetName val="여과지동"/>
      <sheetName val="기초자료"/>
      <sheetName val="A-4"/>
      <sheetName val="기성내역서"/>
      <sheetName val="2F 회의실견적(5_14 일대)"/>
      <sheetName val="일위대가(계측기설치)"/>
      <sheetName val="하수BOX이설"/>
      <sheetName val="자료입력"/>
      <sheetName val="수목표준대가"/>
      <sheetName val="할증"/>
      <sheetName val="방조제+선착장+배수갑문+부대공+1-2방조제"/>
      <sheetName val="hvac(제어동)"/>
      <sheetName val="계산근거"/>
      <sheetName val="plan&amp;section of foundation"/>
      <sheetName val="design criteria"/>
      <sheetName val="인건-측정"/>
      <sheetName val="__"/>
      <sheetName val="COVER"/>
      <sheetName val="산출3-유도등"/>
      <sheetName val="산출2-동력"/>
      <sheetName val="산출2-피뢰침"/>
      <sheetName val="덤프"/>
      <sheetName val="252K444"/>
      <sheetName val="견적990322"/>
      <sheetName val="원형맨홀수량"/>
      <sheetName val="woo(mac)"/>
      <sheetName val="archi(본사)"/>
      <sheetName val="교통신호등"/>
      <sheetName val="조명율표"/>
      <sheetName val="터파기및재료"/>
      <sheetName val="CAL"/>
      <sheetName val="차도조도계산"/>
      <sheetName val="SPEC"/>
      <sheetName val="DC-2303"/>
      <sheetName val="O＆P"/>
      <sheetName val="결재판(삭제하지말아주세요)"/>
      <sheetName val="Process Piping"/>
      <sheetName val="BQ(실행)"/>
      <sheetName val="품셈기준"/>
      <sheetName val="FAB별"/>
      <sheetName val="중동공구"/>
      <sheetName val="조내역"/>
      <sheetName val="철근단면적"/>
      <sheetName val="1.토공"/>
      <sheetName val="개산공사비"/>
      <sheetName val="증가분"/>
      <sheetName val="증가수정"/>
      <sheetName val="문의사항"/>
      <sheetName val="수수료율표"/>
      <sheetName val="수리결과"/>
      <sheetName val="단위수량"/>
      <sheetName val="목록"/>
      <sheetName val="TYPE-1"/>
      <sheetName val="집1"/>
      <sheetName val="철근총괄집계표"/>
      <sheetName val="개화1교"/>
      <sheetName val="내역서(기성청구)"/>
      <sheetName val="원가계산"/>
      <sheetName val="원가계산서(남측)"/>
      <sheetName val="40단가산출서"/>
      <sheetName val="업무처리전"/>
      <sheetName val="WEIGHT LIST"/>
      <sheetName val="POL6차-PIPING"/>
      <sheetName val="산#2-1 (2)"/>
      <sheetName val="산#3-1"/>
      <sheetName val="설산1.나"/>
      <sheetName val="본사S"/>
      <sheetName val="상행-교대(A1-A2)"/>
      <sheetName val="부대공사"/>
      <sheetName val="FB25JN"/>
      <sheetName val="기성신청"/>
      <sheetName val="xxxxxx"/>
      <sheetName val="구역화물"/>
      <sheetName val="토목-물가"/>
      <sheetName val="총괄"/>
      <sheetName val="공통비(전체)"/>
      <sheetName val="2연BOX"/>
      <sheetName val="충주"/>
      <sheetName val="성곽내역서"/>
      <sheetName val="수량산출서-2"/>
      <sheetName val="깨기"/>
      <sheetName val="재료"/>
      <sheetName val="예정(3)"/>
      <sheetName val="동원(3)"/>
      <sheetName val="Koreasea"/>
      <sheetName val="예가대비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반공사"/>
      <sheetName val="Calculation"/>
      <sheetName val="토공사"/>
      <sheetName val="TYPE1"/>
      <sheetName val="철근량"/>
      <sheetName val="MOTOR"/>
      <sheetName val="설계"/>
      <sheetName val="준검 내역서"/>
      <sheetName val="3차설계"/>
      <sheetName val="제출내역 (2)"/>
      <sheetName val="106C0300"/>
      <sheetName val="산출내역(K2)"/>
      <sheetName val="구조물공"/>
      <sheetName val="6공구(당초)"/>
      <sheetName val="부대공"/>
      <sheetName val="투찰"/>
      <sheetName val="1,2공구원가계산서"/>
      <sheetName val="2공구산출내역"/>
      <sheetName val="1공구산출내역서"/>
      <sheetName val="전체제잡비"/>
      <sheetName val="토공"/>
      <sheetName val="철골공사"/>
      <sheetName val="공종별집계표"/>
      <sheetName val="품의서"/>
      <sheetName val="자재 집계표"/>
      <sheetName val="Raw Data"/>
      <sheetName val="배수내역"/>
      <sheetName val="도장수량(하1)"/>
      <sheetName val="주형"/>
      <sheetName val="산출서양식01"/>
      <sheetName val="Sheet1_(2)2"/>
      <sheetName val="물가변동_총괄서2"/>
      <sheetName val="방배동내역_(총괄)2"/>
      <sheetName val="허용전류-IEC_DATA2"/>
      <sheetName val="본선_토공_분배표2"/>
      <sheetName val="EQUIP_LIST2"/>
      <sheetName val="7_1유효폭2"/>
      <sheetName val="현장관리비_산출내역2"/>
      <sheetName val="3_공통공사대비1"/>
      <sheetName val="단면_(2)2"/>
      <sheetName val="토공_갑지1"/>
      <sheetName val="BOX_본체1"/>
      <sheetName val="각사별공사비분개_1"/>
      <sheetName val="을_21"/>
      <sheetName val="을_11"/>
      <sheetName val="Pier_31"/>
      <sheetName val="1_취수장1"/>
      <sheetName val="_1"/>
      <sheetName val="6PILE__(돌출)1"/>
      <sheetName val="해외_연수비용_계산-삭제1"/>
      <sheetName val="해외_기술훈련비_(합계)1"/>
      <sheetName val="3련_BOX1"/>
      <sheetName val="TYPE_A"/>
      <sheetName val="BOX(1_5X1_5)"/>
      <sheetName val="2000년_공정표"/>
      <sheetName val="장비투입_(2)"/>
      <sheetName val="1_설계조건"/>
      <sheetName val="C_&amp;_G_RHS"/>
      <sheetName val="1공구_건정토건_토공"/>
      <sheetName val="5_3_단면가정"/>
      <sheetName val="내역서_"/>
      <sheetName val="ITB_COST"/>
      <sheetName val="BSD_(2)"/>
      <sheetName val="CATCH_BASIN"/>
      <sheetName val="입출재고현황_(2)"/>
      <sheetName val="Man_Hole"/>
      <sheetName val="Process_Piping"/>
      <sheetName val="A-100전제"/>
      <sheetName val="수량산출서 갑지"/>
      <sheetName val="조도계산서 (도서)"/>
      <sheetName val="역T형"/>
      <sheetName val="PILE"/>
      <sheetName val="960318-1"/>
      <sheetName val="견적"/>
      <sheetName val="배관내역"/>
      <sheetName val="공사비증감"/>
      <sheetName val="FLA"/>
      <sheetName val="할증 "/>
      <sheetName val="PI"/>
      <sheetName val="S12"/>
      <sheetName val="S9"/>
      <sheetName val="S14"/>
      <sheetName val="금융구조검토"/>
      <sheetName val="삼성전기"/>
      <sheetName val="골재"/>
      <sheetName val="원가계산서"/>
      <sheetName val="소방사항"/>
      <sheetName val="방수"/>
      <sheetName val="중기"/>
      <sheetName val="심의위원명단"/>
      <sheetName val="실행간접비"/>
      <sheetName val="소화실적"/>
      <sheetName val="1TL종점(1)"/>
      <sheetName val="산1~6"/>
      <sheetName val="산근터빈"/>
      <sheetName val="0"/>
      <sheetName val="음료실행"/>
      <sheetName val="참고"/>
      <sheetName val="공사원가"/>
      <sheetName val="5.모델링"/>
      <sheetName val="입적표"/>
      <sheetName val="SBT NO Proj. Controlling Report"/>
      <sheetName val="경산"/>
      <sheetName val="tggwan(mac)"/>
      <sheetName val="우각부보강"/>
      <sheetName val="품의"/>
      <sheetName val="소비자가"/>
      <sheetName val="20관리비율"/>
      <sheetName val="49일위"/>
      <sheetName val="경비_원본"/>
      <sheetName val="잡비계산"/>
      <sheetName val="하도내역 (철콘)"/>
      <sheetName val="COA-17"/>
      <sheetName val="C-18"/>
      <sheetName val="견적서"/>
      <sheetName val="산출내역서"/>
      <sheetName val="원가"/>
      <sheetName val="교통대책내역"/>
      <sheetName val="PKG"/>
      <sheetName val="시멘트"/>
      <sheetName val="Quantity"/>
      <sheetName val="??"/>
      <sheetName val="내역표지"/>
      <sheetName val="PHC파일 천공 및 항타"/>
      <sheetName val="AC포장수량"/>
      <sheetName val="소일위대가코드표"/>
      <sheetName val="CONCRETE"/>
      <sheetName val="주공 갑지"/>
      <sheetName val="수량이동"/>
      <sheetName val="펌프장수량산출(토)"/>
      <sheetName val="APT"/>
      <sheetName val="토목"/>
      <sheetName val="인천성심병원"/>
      <sheetName val="공문갑지"/>
      <sheetName val="예산서"/>
      <sheetName val="3BL공동구 수량"/>
      <sheetName val="충돌 내용"/>
      <sheetName val="부안일위"/>
      <sheetName val="R.C RAHMEN 해석"/>
      <sheetName val="사통"/>
      <sheetName val="을지"/>
      <sheetName val="G2설비도급"/>
      <sheetName val="11"/>
      <sheetName val="기초공"/>
      <sheetName val="21301동"/>
      <sheetName val="주간기성"/>
      <sheetName val="직종인원"/>
      <sheetName val="일일총괄"/>
      <sheetName val="검사현황"/>
      <sheetName val="10"/>
      <sheetName val="부하"/>
      <sheetName val="Book2"/>
      <sheetName val="8"/>
      <sheetName val="견적서세부내용"/>
      <sheetName val="견적내용입력"/>
      <sheetName val="가설건물"/>
      <sheetName val="공사유형"/>
      <sheetName val="토적표"/>
      <sheetName val="맨홀수량집계"/>
      <sheetName val="h-013211-2"/>
      <sheetName val="작성방법"/>
      <sheetName val="FOOTING단면력"/>
      <sheetName val="허용전류_IEC"/>
      <sheetName val="허용전류_IEC DATA"/>
      <sheetName val="기안"/>
      <sheetName val="INPUT(덕도방향-시점)"/>
      <sheetName val="맨홀수량산출"/>
      <sheetName val="석축단"/>
      <sheetName val="법면수집"/>
      <sheetName val="안정계산"/>
      <sheetName val="단면검토"/>
      <sheetName val="가도공"/>
      <sheetName val="1호인버트수량"/>
      <sheetName val="석축설면"/>
      <sheetName val="법면단"/>
      <sheetName val="중기비"/>
      <sheetName val="공종별집계표(건축)"/>
      <sheetName val="우수공총괄수량집계"/>
      <sheetName val="방음벽연장집계-여기까지만 출력"/>
      <sheetName val="자"/>
      <sheetName val="노"/>
      <sheetName val="장비 (2)"/>
      <sheetName val="지수적용공사비내역서"/>
      <sheetName val="SANBAISU"/>
      <sheetName val="DHEQSUPT"/>
      <sheetName val="기둥"/>
      <sheetName val="2월가격표-ESG-1월"/>
      <sheetName val="UB2"/>
      <sheetName val="G.R300경비"/>
      <sheetName val="관급"/>
      <sheetName val="구체"/>
      <sheetName val="Du toan"/>
      <sheetName val="Keothep"/>
      <sheetName val="Re-bar"/>
      <sheetName val="WEIGHT_LIST"/>
      <sheetName val="산#2-1_(2)"/>
      <sheetName val="118.세금과공과"/>
      <sheetName val="108.수선비"/>
      <sheetName val="BS"/>
      <sheetName val="25.보증금(임차보증금외)"/>
      <sheetName val="Pricing"/>
      <sheetName val="Debt Service Schedule"/>
      <sheetName val="Krw"/>
      <sheetName val="토목내역"/>
      <sheetName val="Cash_Flow"/>
      <sheetName val="NOPAT"/>
      <sheetName val="Invested Capital"/>
      <sheetName val="WACC"/>
      <sheetName val="EVA"/>
      <sheetName val="매출GPU"/>
      <sheetName val="매출HLDS"/>
      <sheetName val="HZ_매출재료비"/>
      <sheetName val="PT_매출재료비"/>
      <sheetName val="Deteriorated Asset"/>
      <sheetName val="세부내역서"/>
      <sheetName val="우수"/>
      <sheetName val="10.단면설계"/>
      <sheetName val="2~5.단면가정&amp;안정검토"/>
      <sheetName val="10.1.단면검토"/>
      <sheetName val="계약ITEM"/>
      <sheetName val="Package 3"/>
      <sheetName val="low schedule"/>
      <sheetName val="피뢰침"/>
      <sheetName val="cellar lighting"/>
      <sheetName val="main building"/>
      <sheetName val="auxiliary building"/>
      <sheetName val="earthing"/>
      <sheetName val="highbay lighting"/>
      <sheetName val="trolley"/>
      <sheetName val="cable tray"/>
      <sheetName val="아산추가1220"/>
      <sheetName val="포장절단"/>
      <sheetName val="동원인원산출"/>
      <sheetName val="제-노임"/>
      <sheetName val="퇴직공제"/>
      <sheetName val="건강보험료"/>
      <sheetName val="노인장기요양보험료"/>
      <sheetName val="9609Aß"/>
      <sheetName val="업무계획1"/>
      <sheetName val="_x0000__x0008__x0000__x0004__x0000_"/>
      <sheetName val="ࠀ฀ࠀ؀ԀЀԀ̀"/>
      <sheetName val="L형옹벽(key)"/>
      <sheetName val="건축원가계산서"/>
      <sheetName val="공사종류(참고)"/>
      <sheetName val="공통부대비"/>
      <sheetName val="2차선환산길이"/>
      <sheetName val="전계가"/>
      <sheetName val="변수값"/>
      <sheetName val="중기상차"/>
      <sheetName val="AS복구"/>
      <sheetName val="중기터파기"/>
      <sheetName val="냉매배관"/>
      <sheetName val="드레인"/>
      <sheetName val="기타"/>
      <sheetName val="TRE TABLE"/>
      <sheetName val="순환펌프"/>
      <sheetName val="저수조"/>
      <sheetName val="급,배기팬"/>
      <sheetName val="급탕순환펌프"/>
      <sheetName val="AH-1 "/>
      <sheetName val="OHU"/>
      <sheetName val="부표총괄"/>
      <sheetName val="터파기"/>
      <sheetName val="공사비"/>
      <sheetName val="신표지1"/>
      <sheetName val="B"/>
      <sheetName val="공정data"/>
      <sheetName val="0217상가미분양자산"/>
      <sheetName val="96보완계획7_12"/>
      <sheetName val="96보완계획7.12"/>
      <sheetName val="SRC-B3U2"/>
      <sheetName val="명세서"/>
      <sheetName val="1.1서버도입"/>
      <sheetName val="경제성분석"/>
      <sheetName val="비교1"/>
      <sheetName val="동원(3-"/>
      <sheetName val="48전력선로일위"/>
      <sheetName val="도장수량⿞陂_x0000_"/>
      <sheetName val="전체수⿞陂"/>
      <sheetName val="도장수량䀀⽎陂_x0000_"/>
      <sheetName val="전체수량집계"/>
      <sheetName val="터파기및_x0000__x0000_"/>
      <sheetName val="터파기및0_x0000_"/>
      <sheetName val="터파기및頚ሷ"/>
      <sheetName val="도장수량뀀㆓_x0000__x0000_"/>
      <sheetName val="도장수량 ⪓_x0000__x0000_"/>
      <sheetName val="도장수량⎄ꀀ㔢"/>
      <sheetName val="동원(젔㢇"/>
      <sheetName val="동원(⎄"/>
      <sheetName val="동원(ꠞ⌲"/>
      <sheetName val="동원(ꠥ⌲"/>
      <sheetName val="동원(瀀ᗝ"/>
      <sheetName val="전체수량堛ㆌ"/>
      <sheetName val="전체수량堘ㆌ"/>
      <sheetName val="전체수ḱ텭/"/>
      <sheetName val="전체수ḱ푭/"/>
      <sheetName val="전체수㪄저"/>
      <sheetName val="전체수량㪄"/>
      <sheetName val="전체수량㪄"/>
      <sheetName val="전체수량㪄"/>
      <sheetName val="전체수㪄栀"/>
      <sheetName val="전체수ꠉ㒉뀀"/>
      <sheetName val="전체수량Ḅ푭"/>
      <sheetName val="전체수량Ḇ푭"/>
      <sheetName val="전체수㪄뀀"/>
      <sheetName val="전체수㪄저"/>
      <sheetName val="전체수㪄耀"/>
      <sheetName val="전체수량㪄"/>
      <sheetName val="전체수젂㺌怀"/>
      <sheetName val="전체수砌㸺က"/>
      <sheetName val="전체수砂㸺倀"/>
      <sheetName val="전체수砱㸺"/>
      <sheetName val="전체수砱㸺䠀"/>
      <sheetName val="전체수瀀⯞_x0000_"/>
      <sheetName val="전체수_x0000_᫜_x0000_"/>
      <sheetName val="전체수猱๭0"/>
      <sheetName val="전체수ⰸ怀"/>
      <sheetName val="전체수ᠱ㠹䀀"/>
      <sheetName val="전체수䀱ᶓ_x0000_"/>
      <sheetName val="전체수뀀⃟_x0000_"/>
      <sheetName val="전체수　⋛_x0000_"/>
      <sheetName val="전체수ꀱ⊌_x0000_"/>
      <sheetName val="전체수량　⋛"/>
      <sheetName val="도장수⠱㔺栀_xdc39_猇"/>
      <sheetName val="도장수⠱ℴ쀀뢈ጂ"/>
      <sheetName val="전체수⠖㔺저"/>
      <sheetName val="전체수砖㖌"/>
      <sheetName val="전체수⠗㔺䀀"/>
      <sheetName val="도장수⠱ℴ䀀뢌ጂ"/>
      <sheetName val="도장수⠱㔺瀀猉"/>
      <sheetName val="도장수倱ᖍ_x0000__x0000_切"/>
      <sheetName val="전체수　⫡_x0000_"/>
      <sheetName val="도장수량ᗛ_x0000__x0000_"/>
      <sheetName val="도장수량က᳟_x0000__x0000_"/>
      <sheetName val="전체수량退ᦐ"/>
      <sheetName val="전체수怀ẑ_x0000_"/>
      <sheetName val="도장수怱ẑ_x0000__x0000_切"/>
      <sheetName val="전체수怱ẑ_x0000_"/>
      <sheetName val="전체수 ᧟_x0000_"/>
      <sheetName val="도장수週ᦐ_x0000__x0000_切"/>
      <sheetName val="전체수瀀ㆍ_x0000_"/>
      <sheetName val="도장수_x0000_㇜_x0000__x0000_切"/>
      <sheetName val="전체수뀀⻜_x0000_"/>
      <sheetName val="도장수瀀⃡_x0000__x0000_切"/>
      <sheetName val="도장수량ᾒ_x0000__x0000_"/>
      <sheetName val="전체수량标㔷"/>
      <sheetName val="전체수량렑㖉"/>
      <sheetName val="전체수_x0000__x0000_퀀"/>
      <sheetName val="전체수량/_x0000_"/>
      <sheetName val="전체수砏㒉"/>
      <sheetName val="도장수ᠱ㐷怀洫猃"/>
      <sheetName val="전체수량᠖㐷"/>
      <sheetName val="도장수량_xd812_₆䠀沣"/>
      <sheetName val="도장수량_xd813_₆蠀ꨟ"/>
      <sheetName val="도장수량猀ﱭ/_x0000_"/>
      <sheetName val="도장수猱ﱭ/_x0000_倀"/>
      <sheetName val="전체수_x0000__x0000_Ԁ"/>
      <sheetName val="전체수 ᧡_x0000_"/>
      <sheetName val="도장수량倀ᖎ_x0000__x0000_"/>
      <sheetName val="도장수량뀀⾍_x0000__x0000_"/>
      <sheetName val="전체수량뀀⾍"/>
      <sheetName val="도장수량耀↓_x0000__x0000_"/>
      <sheetName val="도장수량䀀⒏_x0000__x0000_"/>
      <sheetName val="전체수⿞陂"/>
      <sheetName val="도장수량䀀࿠辜_x0000_"/>
      <sheetName val="도장수량耀࿙辜_x0000_"/>
      <sheetName val="도장수량退ཏ辜_x0000_"/>
      <sheetName val="전체수량_x0000__x0000_"/>
      <sheetName val="도장수량堉㽑瀀┗"/>
      <sheetName val="도장수량ࠔ᰹搜"/>
      <sheetName val="도장수량栗᲋ꀀ齲"/>
      <sheetName val="도장수량࠘᰹蠀숈"/>
      <sheetName val="도장수량࠘᰹쐞"/>
      <sheetName val="도장수1_x0000_Ԁ_x0000_"/>
      <sheetName val="도장수량_x0000__x0000_Ԁ_x0000_"/>
      <sheetName val="도장수耱⺎_x0000__x0000_切"/>
      <sheetName val="도장수량耀⺎_x0000__x0000_"/>
      <sheetName val="도장수량쀀ᮎ_x0000__x0000_"/>
      <sheetName val="도장수량耀Ⲏ_x0000__x0000_"/>
      <sheetName val="도장수량퀀⒑_x0000__x0000_"/>
      <sheetName val="도장수↌_x0000__x0000_切"/>
      <sheetName val="도장수량蠇ᶊ　꧹"/>
      <sheetName val="전체수 ᛙ_x0000_"/>
      <sheetName val="전체수ꀱẑ_x0000_"/>
      <sheetName val="도장수ꀱẑ_x0000__x0000_切"/>
      <sheetName val="도장수량ꀀẑ_x0000__x0000_"/>
      <sheetName val="도장수週Ấ_x0000__x0000_切"/>
      <sheetName val="전체수週Ấ_x0000_"/>
      <sheetName val="전체수량預㊊"/>
      <sheetName val="전체수량팂๩"/>
      <sheetName val="도장수‱Ⲕ_x0000__x0000_切"/>
      <sheetName val="교통신　៕"/>
      <sheetName val="교통신_x0000_㇠"/>
      <sheetName val="도장수량쀀▐_x0000__x0000_"/>
      <sheetName val="도장수량倀◟_x0000__x0000_"/>
      <sheetName val="전체수怀ᗝ_x0000_"/>
      <sheetName val="전체수량ꀀẓ"/>
      <sheetName val="도장수량쀀⒐_x0000__x0000_"/>
      <sheetName val="도장수쀱⒐_x0000__x0000_切"/>
      <sheetName val="전체수쀱⒐_x0000_"/>
      <sheetName val="전체수倱ⓟ_x0000_"/>
      <sheetName val="전체수쨱䡬0"/>
      <sheetName val="도장수량쨄䡬0_x0000_"/>
      <sheetName val="도장수량옅筘0_x0000_"/>
      <sheetName val="전체수⪒_x0000_"/>
      <sheetName val="도장수䀱⽫_x0000__x0000_切"/>
      <sheetName val="도장수량ꀀ㇞_x0000__x0000_"/>
      <sheetName val="동원(ꠖ㠳"/>
      <sheetName val="도장수량젆㰴退㖍"/>
      <sheetName val="동원(_x0000__x0000_"/>
      <sheetName val="동원(_xd807_㞉"/>
      <sheetName val="동원(_xd80c_㞉"/>
      <sheetName val="도장수량퀉罰0_x0000_"/>
      <sheetName val="동원(㒊"/>
      <sheetName val="도장수량_xd80b_㨹䠀䷓"/>
      <sheetName val="동원(㒊"/>
      <sheetName val="동원(⠞ḵ"/>
      <sheetName val="도장수량⠩ḵ蠀_xd881_"/>
      <sheetName val="동원(퀊罰"/>
      <sheetName val="도장수량쌀䄅/_x0000_"/>
      <sheetName val="도장수량က_x0000_ 幍"/>
      <sheetName val="도장수량က_x0000_⠀"/>
      <sheetName val="동원(　◜"/>
      <sheetName val="도장수량쌈㈅/_x0000_"/>
      <sheetName val="도장수량쌀㈅/_x0000_"/>
      <sheetName val="동원(⸴"/>
      <sheetName val="동원(耂ୱ"/>
      <sheetName val="동원(퀂籰"/>
      <sheetName val="도장수량퀂_xde70_/_x0000_"/>
      <sheetName val="전체수　⮒_x0000_"/>
      <sheetName val="교통신퀀ⓢ"/>
      <sheetName val="동원(퀃㽰"/>
      <sheetName val="동원(ᶊ"/>
      <sheetName val="도장수량㢇_x0000_힀"/>
      <sheetName val="동원(順㠵"/>
      <sheetName val="동원(ᶊ"/>
      <sheetName val="전체수량㢇"/>
      <sheetName val="도장수량㢇저홦"/>
      <sheetName val="동원(丂퉮"/>
      <sheetName val="동원(/_x0000_"/>
      <sheetName val="도장수량렉㜸᠀鹟"/>
      <sheetName val="전체수량丐彮"/>
      <sheetName val="동원(ࠆ㔳"/>
      <sheetName val="동원(씂鉫"/>
      <sheetName val="동원(씂恫"/>
      <sheetName val="동원(씍恫"/>
      <sheetName val="교통신_x0000__x0000_"/>
      <sheetName val="도장수량씉恫0_x0000_"/>
      <sheetName val="도장수량츆鱪/_x0000_"/>
      <sheetName val="동원(츃鑪"/>
      <sheetName val="도장수량츂鑪/_x0000_"/>
      <sheetName val="동원(_xd80a_㤸"/>
      <sheetName val="동원(_xd80c_㤸"/>
      <sheetName val="동원(츉ᑪ"/>
      <sheetName val="동원(츀ᑪ"/>
      <sheetName val="동원(츉❪"/>
      <sheetName val="동원(츊❪"/>
      <sheetName val="도장수량츃❪0_x0000_"/>
      <sheetName val="도장수량츅⩪0_x0000_"/>
      <sheetName val="도장수량䠆⸶堀䝽"/>
      <sheetName val="도장수량ԇmᠰQ"/>
      <sheetName val="도장수량〉٩0_x0000_"/>
      <sheetName val="동원(』٩"/>
      <sheetName val="도장수량《٩0_x0000_"/>
      <sheetName val="도장수량〄蝩0_x0000_"/>
      <sheetName val="도장수량〆蝩0_x0000_"/>
      <sheetName val="도장수량_xdf68_/_x0000_"/>
      <sheetName val="도장수량젇ⴳ 㥍"/>
      <sheetName val="동원(ꠐ㰷"/>
      <sheetName val="현장명령서"/>
      <sheetName val="내역전기"/>
      <sheetName val="2공구수량"/>
      <sheetName val="유림총괄"/>
      <sheetName val="급여명세서"/>
      <sheetName val="급여등록"/>
      <sheetName val="UB Beam Box-up"/>
      <sheetName val="Rate"/>
      <sheetName val="DOOR&amp;WINDOW"/>
      <sheetName val="계산결과(출력하지말것)"/>
      <sheetName val="투찰가"/>
      <sheetName val=""/>
      <sheetName val="일위목록"/>
      <sheetName val="관급자재㧈_x0014_冈"/>
      <sheetName val="플랜트 설치"/>
      <sheetName val="list price"/>
      <sheetName val="태화42 "/>
      <sheetName val="토목공사"/>
      <sheetName val="단가표"/>
      <sheetName val="3.바닥판설계"/>
      <sheetName val="상행-교대(洅⿋︸_x0000__x0000__x0000_"/>
      <sheetName val="만기"/>
      <sheetName val="정산표"/>
      <sheetName val="영원bs"/>
      <sheetName val="영원is"/>
      <sheetName val="SDF"/>
      <sheetName val="YSS"/>
      <sheetName val="연결분개99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99발견사항"/>
      <sheetName val="발견사항"/>
      <sheetName val="wbs"/>
      <sheetName val="wpl"/>
      <sheetName val="대차대조표"/>
      <sheetName val="손익계산서"/>
      <sheetName val="수정분개"/>
      <sheetName val="대차"/>
      <sheetName val="손익"/>
      <sheetName val="잉여금"/>
      <sheetName val="현금흐름표"/>
      <sheetName val="현금흐름표검증조서"/>
      <sheetName val="만기 (2)"/>
      <sheetName val="TB"/>
      <sheetName val="99지분법평가ﾐ쟿"/>
      <sheetName val="00'미수"/>
      <sheetName val="She_x0000__x0000_2"/>
      <sheetName val="꺐윂"/>
      <sheetName val="기본"/>
      <sheetName val="1.외주공사"/>
      <sheetName val="2.직영공사"/>
      <sheetName val="감가상각"/>
      <sheetName val="XREF"/>
      <sheetName val="시산표"/>
      <sheetName val="영화별rawdata"/>
      <sheetName val="She??2"/>
      <sheetName val="COMBINED"/>
      <sheetName val="VALSTAT"/>
      <sheetName val="총괄(회사)"/>
      <sheetName val="무형자산"/>
      <sheetName val="전산기기최종"/>
      <sheetName val="집기비품최종"/>
      <sheetName val="만기0701"/>
      <sheetName val="부재료입고집계"/>
      <sheetName val="외화"/>
      <sheetName val="자금동향"/>
      <sheetName val="손익합산"/>
      <sheetName val="지분법적용투자주식"/>
      <sheetName val="原价计算表"/>
      <sheetName val="P50.subsequent"/>
      <sheetName val="Significant Processes"/>
      <sheetName val="정기적금"/>
      <sheetName val="인건비예산(정규직)"/>
      <sheetName val="인건비예산(용역)"/>
      <sheetName val="제품별원가분석"/>
      <sheetName val="7 _2_"/>
      <sheetName val="7 (2)"/>
      <sheetName val="연결분개(거래.Ʉ_x0000_₎㔀"/>
      <sheetName val="ʉ_x0000_䀀"/>
      <sheetName val="2.2"/>
      <sheetName val="2.2 Yrly Comparison"/>
      <sheetName val="5. BSC Developmt"/>
      <sheetName val="Links"/>
      <sheetName val="Lead"/>
      <sheetName val="생산량"/>
      <sheetName val="WELDING"/>
      <sheetName val="She"/>
      <sheetName val="회사정보"/>
      <sheetName val="(참고)개인별 임금인상안"/>
      <sheetName val="(참고)DC형 선택자 퇴직금 추계"/>
      <sheetName val="Margins"/>
      <sheetName val="실사"/>
      <sheetName val="상품원가피벗"/>
      <sheetName val="연결분개(거래_채권채무)_(2)"/>
      <sheetName val="연결분개(거래_채권채무)"/>
      <sheetName val="만기_(2)"/>
      <sheetName val="0814_5만이하"/>
      <sheetName val="재료수율"/>
      <sheetName val="원가분석"/>
      <sheetName val="원재료"/>
      <sheetName val="npv"/>
      <sheetName val="Sheet12"/>
      <sheetName val="미수"/>
      <sheetName val="완성차 미수금"/>
      <sheetName val="03"/>
      <sheetName val="토지"/>
      <sheetName val="임대주택"/>
      <sheetName val="pg15"/>
      <sheetName val="3. BSC NC ratio"/>
      <sheetName val="1.변경범위"/>
      <sheetName val="TCA"/>
      <sheetName val="지급보증금74"/>
      <sheetName val="She__2"/>
      <sheetName val="CPK"/>
      <sheetName val="매출분석"/>
      <sheetName val="2.생산성-2"/>
      <sheetName val="주행"/>
      <sheetName val="A"/>
      <sheetName val="매출TOT"/>
      <sheetName val="INDEX"/>
      <sheetName val="Cash Flows"/>
      <sheetName val="Inventory and Purchases"/>
      <sheetName val="Assumptions and Dashboard"/>
      <sheetName val="Headcount Overview"/>
      <sheetName val="손익계ʰ_x0000_"/>
      <sheetName val="특정현금과예금"/>
      <sheetName val="현금과예금"/>
      <sheetName val="TaxCalc"/>
      <sheetName val="24.보증금(전신전화가입권)"/>
      <sheetName val="1_외주공사"/>
      <sheetName val="2_직영공사"/>
      <sheetName val="안산기계장치"/>
      <sheetName val="Budget"/>
      <sheetName val="Configuration"/>
      <sheetName val="3.판관비명세서"/>
      <sheetName val="2001급여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בית השקעות"/>
      <sheetName val="st"/>
      <sheetName val="Supplement2"/>
      <sheetName val="연금개시전"/>
      <sheetName val="She_x005f_x0000__x005f_x0000_2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시산표 (2)"/>
      <sheetName val="고정1"/>
      <sheetName val="실행계획"/>
      <sheetName val="Start"/>
      <sheetName val="종합_SP"/>
      <sheetName val="종합_MP"/>
      <sheetName val="무림SP_상세"/>
      <sheetName val="무림페이퍼_상세"/>
      <sheetName val="종합"/>
      <sheetName val="TOWER 12TON"/>
      <sheetName val="TOWER 10TON"/>
      <sheetName val="A-TYPE 단위수량"/>
      <sheetName val="터널길이별 m당 단가"/>
      <sheetName val="유림콘도"/>
      <sheetName val="공사비산출내역"/>
      <sheetName val="확인서"/>
      <sheetName val="수원공공사비"/>
      <sheetName val="우수공사"/>
      <sheetName val="95D"/>
      <sheetName val="94D"/>
      <sheetName val="단가비교"/>
      <sheetName val="N賃率-職"/>
      <sheetName val="산근"/>
      <sheetName val="Gia VLNCMTC"/>
      <sheetName val="Sheet1_(2)3"/>
      <sheetName val="물가변동_총괄서3"/>
      <sheetName val="방배동내역_(총괄)3"/>
      <sheetName val="7_1유효폭3"/>
      <sheetName val="허용전류-IEC_DATA3"/>
      <sheetName val="단면_(2)3"/>
      <sheetName val="EQUIP_LIST3"/>
      <sheetName val="본선_토공_분배표3"/>
      <sheetName val="현장관리비_산출내역3"/>
      <sheetName val="3_공통공사대비2"/>
      <sheetName val="1_취수장2"/>
      <sheetName val="을_22"/>
      <sheetName val="을_12"/>
      <sheetName val="해외_연수비용_계산-삭제2"/>
      <sheetName val="해외_기술훈련비_(합계)2"/>
      <sheetName val="BOX_본체2"/>
      <sheetName val="토공_갑지2"/>
      <sheetName val="각사별공사비분개_2"/>
      <sheetName val="_2"/>
      <sheetName val="6PILE__(돌출)2"/>
      <sheetName val="3련_BOX2"/>
      <sheetName val="Pier_32"/>
      <sheetName val="WEIGHT_LIST1"/>
      <sheetName val="산#2-1_(2)1"/>
      <sheetName val="BOX(1_5X1_5)1"/>
      <sheetName val="TYPE_A1"/>
      <sheetName val="2000년_공정표1"/>
      <sheetName val="C_&amp;_G_RHS1"/>
      <sheetName val="장비투입_(2)1"/>
      <sheetName val="내역서_1"/>
      <sheetName val="ITB_COST1"/>
      <sheetName val="BSD_(2)1"/>
      <sheetName val="CATCH_BASIN1"/>
      <sheetName val="입출재고현황_(2)1"/>
      <sheetName val="1_설계조건1"/>
      <sheetName val="Man_Hole1"/>
      <sheetName val="Du_toan"/>
      <sheetName val="설산1_나"/>
      <sheetName val="1공구_건정토건_토공1"/>
      <sheetName val="5_3_단면가정1"/>
      <sheetName val="SBT_NO_Proj__Controlling_Report"/>
      <sheetName val="1_토공"/>
      <sheetName val="Process_Piping1"/>
      <sheetName val="단가_"/>
      <sheetName val="일위대가_(PM)"/>
      <sheetName val="2F_회의실견적(5_14_일대)"/>
      <sheetName val="plan&amp;section_of_foundation"/>
      <sheetName val="design_criteria"/>
      <sheetName val="준검_내역서"/>
      <sheetName val="제출내역_(2)"/>
      <sheetName val="2차전체변경예정_(2)"/>
      <sheetName val="118_세금과공과"/>
      <sheetName val="108_수선비"/>
      <sheetName val="25_보증금(임차보증금외)"/>
      <sheetName val="Debt_Service_Schedule"/>
      <sheetName val="Invested_Capital"/>
      <sheetName val="Deteriorated_Asset"/>
      <sheetName val="자재_집계표"/>
      <sheetName val="수량산출서_갑지"/>
      <sheetName val="조도계산서_(도서)"/>
      <sheetName val="할증_"/>
      <sheetName val="10_단면설계"/>
      <sheetName val="2~5_단면가정&amp;안정검토"/>
      <sheetName val="10_1_단면검토"/>
      <sheetName val="Package_3"/>
      <sheetName val="low_schedule"/>
      <sheetName val="cellar_lighting"/>
      <sheetName val="main_building"/>
      <sheetName val="auxiliary_building"/>
      <sheetName val="highbay_lighting"/>
      <sheetName val="cable_tray"/>
      <sheetName val="Raw_Data"/>
      <sheetName val="Gia_VLNCMTC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3"/>
      <sheetName val="W-현원가"/>
      <sheetName val="총물량"/>
      <sheetName val="FitOutConfCentre"/>
      <sheetName val="TOSHIBA-Structure"/>
      <sheetName val="125x125"/>
      <sheetName val="실행"/>
      <sheetName val="gvl"/>
      <sheetName val="Div26 - Elect"/>
      <sheetName val="BG"/>
      <sheetName val="SITE-E"/>
      <sheetName val="一発シート"/>
      <sheetName val="BANG TONG HOP (2)"/>
      <sheetName val="DTICH"/>
      <sheetName val="Gia"/>
      <sheetName val="NhanCong"/>
      <sheetName val="THCP Lap dat"/>
      <sheetName val="Ts"/>
      <sheetName val="QD957"/>
      <sheetName val="RAB AR&amp;STR"/>
      <sheetName val="DGG"/>
      <sheetName val="DTCT"/>
      <sheetName val="Nhan cong"/>
      <sheetName val="Thiet bi"/>
      <sheetName val="Vat tu"/>
      <sheetName val="DM.ChiPhi"/>
      <sheetName val="May TC"/>
      <sheetName val="Bang KL"/>
      <sheetName val="TH Kinh phi"/>
      <sheetName val="A1.CN"/>
      <sheetName val="은_x0000_"/>
      <sheetName val="대갑기성내역"/>
      <sheetName val="sort"/>
      <sheetName val="현장관리비_瓈¼甌¼헾"/>
      <sheetName val="상행-교대(_x0000__x0000__x0005__x0000_틀Ȝ"/>
      <sheetName val="토목변경"/>
      <sheetName val="대운산출"/>
      <sheetName val="95삼성급(본사)"/>
      <sheetName val="영업3"/>
      <sheetName val="경비산출"/>
      <sheetName val="부재력정리"/>
      <sheetName val="J형측구단위수량"/>
      <sheetName val="수량산출Ü_x0000_䰀_xde75_"/>
      <sheetName val="수량산출ԯ_x0000_缀_x0000_"/>
      <sheetName val="VXXXXX"/>
      <sheetName val="철콘"/>
      <sheetName val="연도별cash"/>
      <sheetName val="Basisdatei"/>
      <sheetName val="도장수량砟⼵᠁_xdb1f_"/>
      <sheetName val="도장수량砞⼵_xd801_᎒"/>
      <sheetName val="도장수량ࠌ侇ꀀꂒ"/>
      <sheetName val="도장수량㠗㚅_xd801_ᝲ"/>
      <sheetName val="도장수량㠓྇쀁뭟"/>
      <sheetName val="도장수량픶退"/>
      <sheetName val="도장수량ꠑ锳저㕭"/>
      <sheetName val="도장수량ꠒ㌷ꁎ"/>
      <sheetName val="동원(_xdb86_"/>
      <sheetName val="도장수량蠖쀀챏"/>
      <sheetName val="도장수량蠒렀䪳"/>
      <sheetName val="도장수량ꠒ³"/>
      <sheetName val="도장수량蠕　_x0002_"/>
      <sheetName val="도장수량Ј乬0_x0000_"/>
      <sheetName val="도장수량Ў㍬0_x0000_"/>
      <sheetName val="도장수량Њ㍬0_x0000_"/>
      <sheetName val="도장수량Ђ걬/_x0000_"/>
      <sheetName val="전체수량᠗辆"/>
      <sheetName val="도장수량Ќ걬/_x0000_"/>
      <sheetName val="도장수량研⼵栁_xdc19_"/>
      <sheetName val="도장수량砛⼵ﳓ"/>
      <sheetName val="도장수량砛⼵_xd801_沈"/>
      <sheetName val="도장수량砐⼵、倩"/>
      <sheetName val="도장수량Ќၬ0_x0000_"/>
      <sheetName val="도장수량Ћ牬0_x0000_"/>
      <sheetName val="전체수량Ђ牬"/>
      <sheetName val="도장수량砗伳_x0000_㢠"/>
      <sheetName val="도장수량Ј_xd86c_/_x0000_"/>
      <sheetName val="도장수량Ѐ/_x0000_"/>
      <sheetName val="도장수량㠐_xdb33_瀀겷"/>
      <sheetName val="도장수량Ї६0_x0000_"/>
      <sheetName val="도장수량Ђ佬0_x0000_"/>
      <sheetName val="도장수량ࠚ꼴퀀옋"/>
      <sheetName val="도장수량᠘轒頀"/>
      <sheetName val="광계통도 기입양식(기입후 Sheet숨기기)"/>
      <sheetName val="도장수량Љ꭬/_x0000_"/>
      <sheetName val="도장수량Ў桬0_x0000_"/>
      <sheetName val="도장수량젞_xdc88_᠀럘"/>
      <sheetName val="도장수량_xdc36_怀⺴"/>
      <sheetName val="도장수량䬀絩0_x0000_"/>
      <sheetName val="교통신⠞쾆"/>
      <sheetName val="도장수량䠐唶帰"/>
      <sheetName val="동원(㠙閆"/>
      <sheetName val="동원(堙锴"/>
      <sheetName val="도장수량᠘쾉ࠀ밬"/>
      <sheetName val="동원(鄂Ꙫ"/>
      <sheetName val="도장수량접켴_x0000_瓞"/>
      <sheetName val="동원(堒㪆"/>
      <sheetName val="도장수량鄋顪/_x0000_"/>
      <sheetName val="도장수량㌸、ܹ"/>
      <sheetName val="도장수량⠐伺_xd800_軙"/>
      <sheetName val="동원(蠒꾆"/>
      <sheetName val="동원(ꠒ꼴"/>
      <sheetName val="잡비_x0000__x0000_"/>
      <sheetName val="도장수량汨0_x0000_"/>
      <sheetName val="도장수량汨0_x0000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관리비율"/>
      <sheetName val="적용단가"/>
      <sheetName val="단가표"/>
      <sheetName val="분전단가"/>
      <sheetName val="표지"/>
      <sheetName val="결과"/>
      <sheetName val="원가집계"/>
      <sheetName val="총괄표"/>
      <sheetName val="재집계"/>
      <sheetName val="직재비"/>
      <sheetName val="분전재료"/>
      <sheetName val="소요량"/>
      <sheetName val="간재비"/>
      <sheetName val="TON용접재"/>
      <sheetName val="도장면적"/>
      <sheetName val="도장원단"/>
      <sheetName val="작업설"/>
      <sheetName val="노무비"/>
      <sheetName val="분전노무"/>
      <sheetName val="분전공수"/>
      <sheetName val="일위대가"/>
      <sheetName val="노임단가"/>
      <sheetName val="제간노율"/>
      <sheetName val="제임금(A)"/>
      <sheetName val="제임금(B)"/>
      <sheetName val="경비"/>
      <sheetName val="경비비교표"/>
      <sheetName val="경비배부액"/>
      <sheetName val="경비조정"/>
      <sheetName val="제조운반"/>
      <sheetName val="소모품비"/>
      <sheetName val="일반관리비율"/>
      <sheetName val="A(손)"/>
      <sheetName val="B사(손)"/>
      <sheetName val="A사(제조)"/>
      <sheetName val="B(제조)"/>
      <sheetName val="工총괄"/>
      <sheetName val="설재료"/>
      <sheetName val="설노집"/>
      <sheetName val="설노무"/>
      <sheetName val="일위"/>
      <sheetName val="설노임"/>
      <sheetName val="설간노"/>
      <sheetName val="20간노율"/>
      <sheetName val="工경비"/>
      <sheetName val="20경비율"/>
      <sheetName val="20완성공사율 (1)"/>
      <sheetName val="20완성공사율(2)"/>
      <sheetName val="운반비"/>
      <sheetName val="평균거리"/>
      <sheetName val="장비"/>
      <sheetName val="20산재율"/>
      <sheetName val="20안전관리율"/>
      <sheetName val="Galaxy 소비자가격표"/>
      <sheetName val="직재"/>
      <sheetName val="수량산출"/>
      <sheetName val="N賃率-職"/>
      <sheetName val="을"/>
      <sheetName val="0002도공조명탑"/>
      <sheetName val="제-노임"/>
      <sheetName val="제직재"/>
      <sheetName val="3BL공동구 수량"/>
      <sheetName val="설계조건"/>
      <sheetName val="안정계산"/>
      <sheetName val="단면검토"/>
      <sheetName val="재집"/>
      <sheetName val="I一般比"/>
      <sheetName val="과천MAIN"/>
      <sheetName val="ABUT수량-A1"/>
      <sheetName val="J直材4"/>
      <sheetName val="단가표 "/>
      <sheetName val="BSD (2)"/>
      <sheetName val="실행내역"/>
      <sheetName val="직노"/>
      <sheetName val="EACT10"/>
      <sheetName val="내역서"/>
      <sheetName val="DATE"/>
      <sheetName val="1단계"/>
      <sheetName val="말뚝물량"/>
      <sheetName val="차액보증"/>
      <sheetName val="금액"/>
      <sheetName val="변화치수"/>
      <sheetName val="기초공"/>
      <sheetName val="기둥(원형)"/>
      <sheetName val="TEL"/>
      <sheetName val="협조전"/>
      <sheetName val="분전함신설"/>
      <sheetName val="접지1종"/>
      <sheetName val="설직재-1"/>
      <sheetName val="단"/>
      <sheetName val="6호기"/>
      <sheetName val="C-노임단가"/>
      <sheetName val="교통표지"/>
      <sheetName val="DB단가"/>
      <sheetName val="손익분석"/>
      <sheetName val="Sheet1"/>
      <sheetName val="간접재료비산출표-27-30"/>
      <sheetName val="코드"/>
      <sheetName val="물량"/>
      <sheetName val="민속촌메뉴"/>
      <sheetName val="가공비"/>
      <sheetName val="원가"/>
      <sheetName val="Proposal"/>
      <sheetName val="공사개요"/>
      <sheetName val="가설"/>
      <sheetName val="철거"/>
      <sheetName val="토공"/>
      <sheetName val="콘크리트"/>
      <sheetName val="조적"/>
      <sheetName val="미장"/>
      <sheetName val="방수"/>
      <sheetName val="타일"/>
      <sheetName val="석재"/>
      <sheetName val="목공"/>
      <sheetName val="단열"/>
      <sheetName val="금속"/>
      <sheetName val="경량"/>
      <sheetName val="수장"/>
      <sheetName val="도장"/>
      <sheetName val="유리"/>
      <sheetName val="창호"/>
      <sheetName val="모형"/>
      <sheetName val="GRDBS"/>
      <sheetName val="DRAIN DRUM PIT D-301"/>
      <sheetName val="소비자가"/>
      <sheetName val="Sheet2"/>
      <sheetName val="1.우편집중내역서"/>
      <sheetName val="#REF"/>
      <sheetName val="Total"/>
      <sheetName val="노무산출서"/>
      <sheetName val="설계명세서(종합)"/>
      <sheetName val="소요자재"/>
      <sheetName val="준검 내역서"/>
      <sheetName val="토목"/>
      <sheetName val="적용대가"/>
      <sheetName val="대비"/>
      <sheetName val="데이타"/>
      <sheetName val="DATA"/>
      <sheetName val="경산"/>
      <sheetName val="목차"/>
      <sheetName val="APT"/>
      <sheetName val=" 견적서"/>
      <sheetName val="외주비"/>
      <sheetName val="1안"/>
      <sheetName val="입력"/>
      <sheetName val="화산경계"/>
      <sheetName val="Customer Databas"/>
      <sheetName val="인건-측정"/>
      <sheetName val="간이연락"/>
      <sheetName val="20완성공사율_(1)"/>
      <sheetName val="Galaxy_소비자가격표"/>
      <sheetName val="3BL공동구_수량"/>
      <sheetName val="BSD_(2)"/>
      <sheetName val="단가표_"/>
      <sheetName val="예산서"/>
      <sheetName val="type-F"/>
      <sheetName val="자료입력"/>
      <sheetName val="특별교실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/>
      <sheetData sheetId="157" refreshError="1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건축원가계산서"/>
      <sheetName val="수량산출"/>
      <sheetName val="구미4단2"/>
      <sheetName val="ITEM"/>
      <sheetName val="단가조사"/>
      <sheetName val="보도경계블럭"/>
      <sheetName val="2.고용보험료산출근거"/>
      <sheetName val="BID"/>
      <sheetName val="TEL"/>
      <sheetName val="데이타"/>
      <sheetName val="개요"/>
      <sheetName val="경비2내역"/>
      <sheetName val="날개벽"/>
      <sheetName val="BSD (2)"/>
      <sheetName val="을"/>
      <sheetName val=" 견적서"/>
      <sheetName val="갑지"/>
      <sheetName val="기초공"/>
      <sheetName val="기둥(원형)"/>
      <sheetName val="일위대가목차"/>
      <sheetName val="대비"/>
      <sheetName val="공사비집계"/>
      <sheetName val="집계표"/>
      <sheetName val="견적서"/>
      <sheetName val="중기사용료산출근거"/>
      <sheetName val="단가 및 재료비"/>
      <sheetName val="말뚝지지력산정"/>
      <sheetName val="PUMP"/>
      <sheetName val="내역"/>
      <sheetName val="품종별-이름"/>
      <sheetName val="결과조달"/>
      <sheetName val="Const Staff"/>
      <sheetName val="FREU Engineering"/>
      <sheetName val="Startup Staff"/>
      <sheetName val="단위세대"/>
      <sheetName val="Customer Databas"/>
      <sheetName val="금액내역서"/>
      <sheetName val="Sheet5"/>
      <sheetName val="Main"/>
      <sheetName val="Data"/>
      <sheetName val="설계조건"/>
      <sheetName val="노원열병합  건축공사기성내역서"/>
      <sheetName val="제경비"/>
      <sheetName val="CC16-내역서"/>
      <sheetName val="Proposal"/>
      <sheetName val="금액집계"/>
      <sheetName val="구조물공1"/>
      <sheetName val="배수및구조물공1"/>
      <sheetName val="내역서"/>
      <sheetName val="부대내역"/>
      <sheetName val="단가"/>
      <sheetName val="1단계"/>
      <sheetName val="DATE"/>
      <sheetName val="투찰"/>
      <sheetName val="Y-WORK"/>
      <sheetName val="INPUT"/>
      <sheetName val="예산M12A"/>
      <sheetName val="토공"/>
      <sheetName val="CAPVC"/>
      <sheetName val="내역서(총)"/>
      <sheetName val="기계내역"/>
      <sheetName val="기초자료"/>
      <sheetName val="98태백"/>
      <sheetName val="건축집계표"/>
      <sheetName val="소업1교"/>
      <sheetName val="설계"/>
      <sheetName val="3련 BOX"/>
      <sheetName val="Galaxy 소비자가격표"/>
      <sheetName val="수량산출서"/>
      <sheetName val="단가산출서"/>
      <sheetName val="전기"/>
      <sheetName val="design criteria"/>
      <sheetName val="working load at the btm ft."/>
      <sheetName val="plan&amp;section of foundation"/>
      <sheetName val="member design"/>
      <sheetName val="soil bearing check"/>
      <sheetName val="음료실행"/>
      <sheetName val="사업부배부A"/>
      <sheetName val="조명시설"/>
      <sheetName val="일위대가"/>
      <sheetName val="터파기및재료"/>
      <sheetName val="Mc1"/>
      <sheetName val="단가산출"/>
      <sheetName val="SG"/>
      <sheetName val="WORK"/>
      <sheetName val="EACT10"/>
      <sheetName val="교각1"/>
      <sheetName val="시멘트"/>
      <sheetName val="안정검토"/>
      <sheetName val="95년간접비"/>
      <sheetName val="발생집계"/>
      <sheetName val="이자수익1"/>
      <sheetName val="Macro(전선)"/>
      <sheetName val="간지"/>
      <sheetName val="소비자가"/>
      <sheetName val="공사내역"/>
      <sheetName val="간이연락"/>
      <sheetName val="J直材4"/>
      <sheetName val="원가 (2)"/>
      <sheetName val="단가표"/>
      <sheetName val="물량표S"/>
      <sheetName val="포장공"/>
      <sheetName val="6호기"/>
      <sheetName val="건축(충일분)"/>
      <sheetName val="전기일위대가"/>
      <sheetName val="Total"/>
      <sheetName val="#REF"/>
      <sheetName val="설계명세서"/>
      <sheetName val="MATRLDATA"/>
      <sheetName val="내역(전체)"/>
      <sheetName val="ABUT수량-A1"/>
      <sheetName val="2공구산출내역"/>
      <sheetName val="날개벽(좌,우=45도,75도)"/>
      <sheetName val="FCU (2)"/>
      <sheetName val="eq_data"/>
      <sheetName val="갑지1"/>
      <sheetName val="EE-PROP"/>
      <sheetName val="갑지(추정)"/>
      <sheetName val="단가산출1"/>
      <sheetName val="단가산출2"/>
      <sheetName val="실행철강하도"/>
      <sheetName val="F4-F7"/>
      <sheetName val="차수"/>
      <sheetName val="공통가설"/>
      <sheetName val="매입세"/>
      <sheetName val="세부내역"/>
      <sheetName val="COPING"/>
      <sheetName val="공사개요"/>
      <sheetName val="공틀공사"/>
      <sheetName val="wall"/>
      <sheetName val="총괄표"/>
      <sheetName val="danga"/>
      <sheetName val="ilch"/>
      <sheetName val="협조전"/>
      <sheetName val="노임이"/>
      <sheetName val="노임단가"/>
      <sheetName val="현장경비"/>
      <sheetName val="type-F"/>
      <sheetName val="타공종이기"/>
      <sheetName val="계정"/>
      <sheetName val="단면가정"/>
      <sheetName val="일위대가표"/>
      <sheetName val="우각부보강"/>
      <sheetName val="FANDBS"/>
      <sheetName val="GRDATA"/>
      <sheetName val="SHAFTDBSE"/>
      <sheetName val="시화점실행"/>
      <sheetName val="환율change"/>
      <sheetName val="금융비용"/>
      <sheetName val="표지"/>
      <sheetName val="견적대비표"/>
      <sheetName val="4 LINE"/>
      <sheetName val="7 th"/>
      <sheetName val="냉천부속동"/>
      <sheetName val="부대대비"/>
      <sheetName val="냉연집계"/>
      <sheetName val="만수배관단가"/>
      <sheetName val="FRP배관단가(만수)"/>
      <sheetName val="kimre scrubber"/>
      <sheetName val="2-3.V.D일위"/>
      <sheetName val="확산동"/>
      <sheetName val="교통대책내역"/>
      <sheetName val="토목주소"/>
      <sheetName val="프랜트면허"/>
      <sheetName val="GRDBS"/>
      <sheetName val="예산 세부사항"/>
      <sheetName val="건축"/>
      <sheetName val="일용노임단가"/>
      <sheetName val="1.설계조건"/>
      <sheetName val="3F"/>
      <sheetName val="토목"/>
      <sheetName val="MTL(AG)"/>
      <sheetName val="EQUIPMENT -2"/>
      <sheetName val="을지"/>
      <sheetName val="APT내역"/>
      <sheetName val="예산M2"/>
      <sheetName val="콘크리트타설입력"/>
      <sheetName val="레미콘입고현황"/>
      <sheetName val="골조시행"/>
      <sheetName val="부재리스트"/>
      <sheetName val="전 기"/>
      <sheetName val="현장"/>
      <sheetName val="단면치수"/>
      <sheetName val="일위대가표(DEEP)"/>
      <sheetName val="자료"/>
      <sheetName val="통합"/>
      <sheetName val="CODE"/>
      <sheetName val="직공비"/>
      <sheetName val="TOEC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보고서"/>
      <sheetName val="CON'C"/>
      <sheetName val="공사비산출내역"/>
      <sheetName val="Sheet1"/>
      <sheetName val="품의서"/>
      <sheetName val="공통가설공사"/>
      <sheetName val="재집"/>
      <sheetName val="직재"/>
      <sheetName val="70%"/>
      <sheetName val="설 계"/>
      <sheetName val="10월"/>
      <sheetName val="노임"/>
      <sheetName val="일위목록"/>
      <sheetName val="Macro1"/>
      <sheetName val="일위대가(가설)"/>
      <sheetName val="실행"/>
      <sheetName val="SUMMARY"/>
      <sheetName val="PAINT"/>
      <sheetName val="가로등내역서"/>
      <sheetName val="작성"/>
      <sheetName val="일위_파일"/>
      <sheetName val="노무비"/>
      <sheetName val="6PILE  (돌출)"/>
      <sheetName val="장비사양"/>
      <sheetName val="식재일위대가"/>
      <sheetName val="Sheet1 (2)"/>
      <sheetName val="전기BOX내역서"/>
      <sheetName val="가도공"/>
      <sheetName val="코드표"/>
      <sheetName val="설계내역서"/>
      <sheetName val="연결임시"/>
      <sheetName val="기자재비"/>
      <sheetName val="2.냉난방설비공사"/>
      <sheetName val="단가비교표"/>
      <sheetName val="패널"/>
      <sheetName val="1차 내역서"/>
      <sheetName val="Sheet4"/>
      <sheetName val="대목"/>
      <sheetName val="단가표 (2)"/>
      <sheetName val="N賃率-職"/>
      <sheetName val="2000년1차"/>
      <sheetName val="물가시세"/>
      <sheetName val="Sheet2"/>
      <sheetName val="단위중량"/>
      <sheetName val="적용건축"/>
      <sheetName val="단가조사서"/>
      <sheetName val="공문"/>
      <sheetName val="설계변경총괄표(계산식)"/>
      <sheetName val="A3.공사비 검토"/>
      <sheetName val="C3.토목_옹벽"/>
      <sheetName val="3.건축(현장안)"/>
      <sheetName val="의왕내역"/>
      <sheetName val="관급자재"/>
      <sheetName val="단"/>
      <sheetName val="수정시산표"/>
      <sheetName val="매출채권 및 담보비율 변동"/>
      <sheetName val="설계예시"/>
      <sheetName val="물량표"/>
      <sheetName val="기초단가"/>
      <sheetName val="개산공사비"/>
      <sheetName val="완성차 미수금"/>
      <sheetName val="인건-측정"/>
      <sheetName val="전기변내역"/>
      <sheetName val="실행간접비용"/>
      <sheetName val="갑지(요약)"/>
      <sheetName val="현장관리비"/>
      <sheetName val="기초코드"/>
      <sheetName val="비교1"/>
      <sheetName val="내역서2안"/>
      <sheetName val="지급자재"/>
      <sheetName val="2.대외공문"/>
      <sheetName val="HP1AMLIST"/>
      <sheetName val="JUCKEYK"/>
      <sheetName val="분양가"/>
      <sheetName val="대가단최종"/>
      <sheetName val="분양금할인"/>
      <sheetName val="ML"/>
      <sheetName val="업무분장"/>
      <sheetName val="실행대비"/>
      <sheetName val="강북라우터"/>
      <sheetName val="콤보박스와 리스트박스의 연결"/>
      <sheetName val="이토변실(A3-LINE)"/>
      <sheetName val="식재가격"/>
      <sheetName val="식재총괄"/>
      <sheetName val="물가자료"/>
      <sheetName val="목차 및 표지"/>
      <sheetName val="1기성검사원"/>
      <sheetName val="기성검사원"/>
      <sheetName val="2기성산출범위요약서"/>
      <sheetName val="4-10"/>
      <sheetName val="일위대가(출입)"/>
      <sheetName val="토사(PE)"/>
      <sheetName val="설계예산2"/>
      <sheetName val="Sheet3"/>
      <sheetName val="덤프트럭계수"/>
      <sheetName val="준검 내역서"/>
      <sheetName val="공정코드"/>
      <sheetName val="내역(토목2)11-7"/>
      <sheetName val="설계서을"/>
      <sheetName val="BOX수량"/>
      <sheetName val="용산1(해보)"/>
      <sheetName val="입출재고현황 (2)"/>
      <sheetName val="총괄"/>
      <sheetName val="8공구투찰내역서"/>
      <sheetName val="1.우편집중내역서"/>
      <sheetName val="공사비예산서(토목분)"/>
      <sheetName val="단가조건"/>
      <sheetName val="98지급계획"/>
      <sheetName val="내역(입찰)"/>
      <sheetName val="RAHMEN"/>
      <sheetName val="영업.일"/>
      <sheetName val="산출기준(파견전산실)"/>
      <sheetName val="본부소개"/>
      <sheetName val="예산변경사항"/>
      <sheetName val="청천내"/>
      <sheetName val="단위중기"/>
      <sheetName val="2000.05"/>
      <sheetName val="인사자료총집계"/>
      <sheetName val="hvac내역서(제어동)"/>
      <sheetName val="BOQ건축"/>
      <sheetName val="M1"/>
      <sheetName val="단면검토"/>
      <sheetName val="BSD _2_"/>
      <sheetName val="물가"/>
      <sheetName val="Budget 2004(DW)"/>
      <sheetName val="첨"/>
      <sheetName val="9-1차이내역"/>
      <sheetName val="설비내역서"/>
      <sheetName val="건축내역서"/>
      <sheetName val="전기내역서"/>
      <sheetName val="PROJECT BRIEF(EX.NEW)"/>
      <sheetName val="재무가정"/>
      <sheetName val="말뚝물량"/>
      <sheetName val="정보매체A동"/>
      <sheetName val="ITB COST"/>
      <sheetName val="6.OUTPUT"/>
      <sheetName val="계약내역서"/>
      <sheetName val="출력표"/>
      <sheetName val="I.설계조건"/>
      <sheetName val="단면 (2)"/>
      <sheetName val="combi(wall)"/>
      <sheetName val="1련박스"/>
      <sheetName val="대로근거"/>
      <sheetName val="중로근거"/>
      <sheetName val="첨부파일"/>
      <sheetName val="가격조사서"/>
      <sheetName val="현금"/>
      <sheetName val="BREAKDOWN(철거설치)"/>
      <sheetName val="UNIT"/>
      <sheetName val="정부노임단가"/>
      <sheetName val="퇴비산출근거"/>
      <sheetName val="99노임기준"/>
      <sheetName val="2002상반기노임기준"/>
      <sheetName val="분류작업"/>
      <sheetName val="분석"/>
      <sheetName val="설계예산"/>
      <sheetName val="하도급기성_(2)"/>
      <sheetName val="하도급단가산출_(2)"/>
      <sheetName val="입출재고현황_(2)"/>
      <sheetName val="EKOG10건축"/>
      <sheetName val="전체"/>
      <sheetName val="조명율표"/>
      <sheetName val="공사개요설명서"/>
      <sheetName val="건축공사"/>
      <sheetName val="사용성검토"/>
      <sheetName val="토목내역"/>
      <sheetName val="공통(20-91)"/>
      <sheetName val="토공(완충)"/>
      <sheetName val="기계"/>
      <sheetName val="design_criteria"/>
      <sheetName val="working_load_at_the_btm_ft_"/>
      <sheetName val="plan&amp;section_of_foundation"/>
      <sheetName val="member_design"/>
      <sheetName val="1_설계조건"/>
      <sheetName val="6_OUTPUT"/>
      <sheetName val="설_계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토공계산서(부체도로)"/>
      <sheetName val="간접경상비"/>
      <sheetName val="옹벽"/>
      <sheetName val="8.PILE  (돌출)"/>
      <sheetName val="입력값"/>
      <sheetName val="간선계산"/>
      <sheetName val="MOTOR"/>
      <sheetName val="부재예실"/>
      <sheetName val="SUMMARY(S)"/>
      <sheetName val="대대터널 설계서"/>
      <sheetName val="내역표지"/>
      <sheetName val="담장산출"/>
      <sheetName val="깨기"/>
      <sheetName val="첨부1"/>
      <sheetName val="hvac(제어동)"/>
      <sheetName val="가정급수관"/>
      <sheetName val="FRT_O"/>
      <sheetName val="FAB_I"/>
      <sheetName val="보일러"/>
      <sheetName val="배수통관(좌)"/>
      <sheetName val="11"/>
      <sheetName val="포장복구집계"/>
      <sheetName val="적용환율"/>
      <sheetName val="접속 SLAB,BRACKET 설계"/>
      <sheetName val="견적조건"/>
      <sheetName val="관리비"/>
      <sheetName val="TB-내역서"/>
      <sheetName val="자재단가비교표"/>
      <sheetName val="교량전기"/>
      <sheetName val="토적1"/>
      <sheetName val="1호맨홀토공"/>
      <sheetName val="12용지"/>
      <sheetName val="토적"/>
      <sheetName val="인건비 "/>
      <sheetName val="Budget 2005(DW)"/>
      <sheetName val="숙소"/>
      <sheetName val="마산월령동골조물량변경"/>
      <sheetName val="근고 블록 유형별 수량"/>
      <sheetName val="당진생산팀"/>
      <sheetName val="대차대조표"/>
      <sheetName val="보온자재단가표"/>
      <sheetName val="조경"/>
      <sheetName val="Front"/>
      <sheetName val="DESCRIPTION"/>
      <sheetName val="예산M5A"/>
      <sheetName val="VENDOR LIST"/>
      <sheetName val="공통비"/>
      <sheetName val="crude.SLAB RE-bar"/>
      <sheetName val="예산내역서"/>
      <sheetName val="설계예산서"/>
      <sheetName val="총계"/>
      <sheetName val="수문일1"/>
      <sheetName val="하중계산"/>
      <sheetName val="내역서 "/>
      <sheetName val="산출근거"/>
      <sheetName val="COVER"/>
      <sheetName val="도"/>
      <sheetName val="1.설계기준"/>
      <sheetName val="소운반"/>
      <sheetName val="Discount Group"/>
      <sheetName val="인건비"/>
      <sheetName val="dtxl"/>
      <sheetName val="FB25JN"/>
      <sheetName val="건축내역"/>
      <sheetName val="기성내역서표지"/>
      <sheetName val="바.한일양산"/>
      <sheetName val="요율"/>
      <sheetName val="소방"/>
      <sheetName val="산출"/>
      <sheetName val="기초일위"/>
      <sheetName val="시설일위"/>
      <sheetName val="조명일위"/>
      <sheetName val="A"/>
      <sheetName val="정렬"/>
      <sheetName val="투찰금액"/>
      <sheetName val="J"/>
      <sheetName val="진행 DATA (2)"/>
      <sheetName val="부표총괄"/>
      <sheetName val="대림경상68억"/>
      <sheetName val="일위대가(1)"/>
      <sheetName val="데리네이타현황"/>
      <sheetName val="강교(Sub)"/>
      <sheetName val="일반토공견적"/>
      <sheetName val="중기경유지급대장"/>
      <sheetName val="규격"/>
      <sheetName val="FAX"/>
      <sheetName val="한강운반비"/>
      <sheetName val="원가서"/>
      <sheetName val="인천제철"/>
      <sheetName val="예산대비"/>
      <sheetName val="일위"/>
      <sheetName val="내역서(ebs)"/>
      <sheetName val="3.공통공사대비"/>
      <sheetName val="보험료"/>
      <sheetName val="해외(원화)"/>
      <sheetName val="부전지"/>
      <sheetName val="입력"/>
      <sheetName val="9GNG운반"/>
      <sheetName val="계획고"/>
      <sheetName val="구조물공"/>
      <sheetName val="배수공"/>
      <sheetName val="BQ(실행)"/>
      <sheetName val="기본단가"/>
      <sheetName val="연습"/>
      <sheetName val="진천방향"/>
      <sheetName val="기안"/>
      <sheetName val="APT"/>
      <sheetName val="주안3차A-A"/>
      <sheetName val="DHEQSUPT"/>
      <sheetName val="_REF"/>
      <sheetName val="소방사항"/>
      <sheetName val="기본DATA"/>
      <sheetName val="98수문일위"/>
      <sheetName val="자재"/>
      <sheetName val="G.R300경비"/>
      <sheetName val="중기사용료"/>
      <sheetName val="구의33고"/>
      <sheetName val="유림골조"/>
      <sheetName val="제잡비"/>
      <sheetName val="통합보할공정표"/>
      <sheetName val="덕전리"/>
      <sheetName val="증감내역서"/>
      <sheetName val="시운전연료"/>
      <sheetName val="건축내역서 (경제상무실)"/>
      <sheetName val="내역서적용"/>
      <sheetName val="(A)내역서"/>
      <sheetName val="유림총괄"/>
      <sheetName val="편입용지조서"/>
      <sheetName val="원가"/>
      <sheetName val="가. 2006년 사업계획서"/>
      <sheetName val="집행현황"/>
      <sheetName val="MIJIBI"/>
      <sheetName val="부대tu"/>
      <sheetName val="inputdata"/>
      <sheetName val="토목(대안)"/>
      <sheetName val="인제내역"/>
      <sheetName val="설비"/>
      <sheetName val="P1"/>
      <sheetName val="매매"/>
      <sheetName val="전신"/>
      <sheetName val="기본자료"/>
      <sheetName val="A-4"/>
      <sheetName val="현장경상비"/>
      <sheetName val="비용"/>
      <sheetName val="도급원가"/>
      <sheetName val="관로공표지"/>
      <sheetName val="콘크리트타설집계표"/>
      <sheetName val="전기단가조사서"/>
      <sheetName val="목재동바리"/>
      <sheetName val="출력X"/>
      <sheetName val="설계명세"/>
      <sheetName val="XL4Poppy"/>
      <sheetName val="매립"/>
      <sheetName val="s"/>
      <sheetName val="산출내역서집계표"/>
      <sheetName val="입찰"/>
      <sheetName val="현경"/>
      <sheetName val="CAL"/>
      <sheetName val="대치판정"/>
      <sheetName val="배수관공"/>
      <sheetName val="내역_FILE"/>
      <sheetName val="Sheet6"/>
      <sheetName val="database"/>
      <sheetName val="Salary(해외)"/>
      <sheetName val="연돌일위집계"/>
      <sheetName val="실행내역서 "/>
      <sheetName val="영동(D)"/>
      <sheetName val="실행(1)"/>
      <sheetName val="사다리"/>
      <sheetName val="산근"/>
      <sheetName val="배관배선 단가조사"/>
      <sheetName val="일위대가집계"/>
      <sheetName val="설비견적"/>
      <sheetName val="단양 00 아파트-세부내역"/>
      <sheetName val="96보완계획7.12"/>
      <sheetName val="기계경비(시간당)"/>
      <sheetName val="램머"/>
      <sheetName val="I一般比"/>
      <sheetName val="공사"/>
      <sheetName val="***********************00"/>
      <sheetName val="목포전화국"/>
      <sheetName val="면적"/>
      <sheetName val="집계"/>
      <sheetName val="수목데이타 "/>
      <sheetName val="식재"/>
      <sheetName val="시설물"/>
      <sheetName val="식재출력용"/>
      <sheetName val="유지관리"/>
      <sheetName val="확약서"/>
      <sheetName val="사토(신천경유)"/>
      <sheetName val="내역서단가산출용"/>
      <sheetName val="건설성적"/>
      <sheetName val="98NS-N"/>
      <sheetName val="청주(철골발주의뢰서)"/>
      <sheetName val="분전함신설"/>
      <sheetName val="접지1종"/>
      <sheetName val="전선 및 전선관"/>
      <sheetName val="일위대가목록"/>
      <sheetName val="공조기"/>
      <sheetName val="순공사비"/>
      <sheetName val="단가조사표"/>
      <sheetName val="자재단가"/>
      <sheetName val="공정별"/>
      <sheetName val="Quantity"/>
      <sheetName val="투입실적"/>
      <sheetName val="5사남"/>
      <sheetName val="#REF!"/>
      <sheetName val="Re-bar"/>
      <sheetName val="Module1"/>
      <sheetName val="tuong"/>
      <sheetName val="구미4단2.XLS"/>
      <sheetName val="%EA%B5%AC%EB%AF%B84%EB%8B%A82.X"/>
      <sheetName val="ahs"/>
      <sheetName val="metode"/>
      <sheetName val="_견적서"/>
      <sheetName val="2_고용보험료산출근거"/>
      <sheetName val="Sheet14"/>
      <sheetName val="Sheet15"/>
      <sheetName val="관로토공"/>
      <sheetName val="keyword"/>
      <sheetName val="factors"/>
      <sheetName val="날개벽수량표"/>
      <sheetName val=" 냉각수펌프"/>
      <sheetName val="재정비직인"/>
      <sheetName val="재정비내역"/>
      <sheetName val="지적고시내역"/>
      <sheetName val="본사 보고"/>
      <sheetName val="일위대가(계측기설치)"/>
      <sheetName val="변수2"/>
      <sheetName val="저항"/>
      <sheetName val="일위대가_1_"/>
      <sheetName val="경비_원본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외주가공"/>
      <sheetName val="배수내역 (2)"/>
      <sheetName val="대운산출"/>
      <sheetName val="Regenerator  Concrete Structure"/>
      <sheetName val="본장"/>
      <sheetName val="기초대가"/>
      <sheetName val="예산"/>
      <sheetName val="woo(mac)"/>
      <sheetName val="123"/>
      <sheetName val="96까지"/>
      <sheetName val="97년"/>
      <sheetName val="98이후"/>
      <sheetName val="주관사업"/>
      <sheetName val="진주방향"/>
      <sheetName val="000000"/>
      <sheetName val="통계연보"/>
      <sheetName val="배수공 주요자재 집계표"/>
      <sheetName val="가설건물"/>
      <sheetName val="총체보활공정표"/>
      <sheetName val="FORM-0"/>
      <sheetName val="FORM_0"/>
      <sheetName val="부대시설"/>
      <sheetName val="1F"/>
      <sheetName val="안정계산"/>
      <sheetName val="직노"/>
      <sheetName val="조직공사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N賃率-職"/>
      <sheetName val="연결"/>
      <sheetName val="경율산정.XLS"/>
      <sheetName val="She塅䕃⹌塅"/>
      <sheetName val="부표총괄"/>
      <sheetName val="내역"/>
      <sheetName val="금액내역서"/>
      <sheetName val="archi(본사)"/>
      <sheetName val="직재"/>
      <sheetName val="#REF"/>
      <sheetName val="내역서"/>
      <sheetName val="OPT7"/>
      <sheetName val="수량산출"/>
      <sheetName val=""/>
      <sheetName val="실행내역서"/>
      <sheetName val="견적대비 견적서"/>
      <sheetName val="Galaxy 소비자가격표"/>
      <sheetName val="일위대가(계측기설치)"/>
      <sheetName val="부하계산서"/>
      <sheetName val="골조시행"/>
      <sheetName val="노임이"/>
      <sheetName val="일위대가"/>
      <sheetName val="부하(성남)"/>
      <sheetName val="1ST"/>
      <sheetName val="20관리비율"/>
      <sheetName val="건축"/>
      <sheetName val="지주목시비량산출서"/>
      <sheetName val="단가표 "/>
      <sheetName val="ZURRIEQ"/>
      <sheetName val="계화배수"/>
      <sheetName val="일위대가목차"/>
      <sheetName val="횡배수관토공수량"/>
      <sheetName val="J直材4"/>
      <sheetName val="제직재"/>
      <sheetName val="설직재-1"/>
      <sheetName val="제-노임"/>
      <sheetName val="C-직노1"/>
      <sheetName val="D-경비1"/>
      <sheetName val="노임단가"/>
      <sheetName val="별첨 #1-1. 각기능별개발원가"/>
      <sheetName val="입력변수"/>
      <sheetName val="공사내역"/>
      <sheetName val="Oper Amount"/>
      <sheetName val="물량"/>
      <sheetName val="부하"/>
      <sheetName val="시행후면적"/>
      <sheetName val="대비"/>
      <sheetName val="수로단위수량"/>
      <sheetName val="Customer Databas"/>
      <sheetName val="CTEMCOST"/>
      <sheetName val="설계내역서"/>
      <sheetName val="수목데이타 "/>
      <sheetName val="종배수관면벽신"/>
      <sheetName val="표지 (2)"/>
      <sheetName val=" 남대문,중앙 AA지점 인테리어공사.xlsx"/>
      <sheetName val=" 홍릉,장안 AA지점 인테리어공사.xlsx"/>
      <sheetName val="I一般比"/>
      <sheetName val="업무"/>
      <sheetName val="COVER-P"/>
      <sheetName val="Y-WORK"/>
      <sheetName val="GAEYO"/>
      <sheetName val="소방"/>
      <sheetName val="설계명세서(선로)"/>
      <sheetName val="견적서"/>
      <sheetName val="직접인건비"/>
      <sheetName val="유림골조"/>
      <sheetName val="6PILE  (돌출)"/>
      <sheetName val="을"/>
      <sheetName val="차액보증"/>
      <sheetName val="토목주소"/>
      <sheetName val="진주방향"/>
      <sheetName val="마산방향"/>
      <sheetName val="마산방향철근집계"/>
      <sheetName val="날개벽수량표"/>
      <sheetName val="공사설계서"/>
      <sheetName val="현장관리비"/>
      <sheetName val="wall"/>
      <sheetName val="입찰안"/>
      <sheetName val="PAD TR보호대기초"/>
      <sheetName val="가로등기초"/>
      <sheetName val="HANDHOLE(2)"/>
      <sheetName val="산출2-기기동력"/>
      <sheetName val="갑지1"/>
      <sheetName val="BSD (2)"/>
      <sheetName val="갑지(추정)"/>
      <sheetName val="인사자료총집계"/>
      <sheetName val="1.설계조건"/>
      <sheetName val="간선계산"/>
      <sheetName val="DATA"/>
      <sheetName val="단가"/>
      <sheetName val="전기일위대가"/>
      <sheetName val="데이타"/>
      <sheetName val="ITEM"/>
      <sheetName val="Macro(차단기)"/>
      <sheetName val="터널조도"/>
      <sheetName val="도급예산내역서봉투"/>
      <sheetName val="공사원가계산서"/>
      <sheetName val="기계경비(시간당)"/>
      <sheetName val="설계산출기초"/>
      <sheetName val="설계산출표지"/>
      <sheetName val="도급예산내역서총괄표"/>
      <sheetName val="램머"/>
      <sheetName val="단가조사"/>
      <sheetName val="Baby일위대가"/>
      <sheetName val="노임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VXXXXXXX"/>
      <sheetName val="ECSYSTEM"/>
      <sheetName val="ECSYSTEM_2"/>
      <sheetName val="ECSYSTEM_3"/>
      <sheetName val="원가"/>
      <sheetName val="집계"/>
      <sheetName val="소요량"/>
      <sheetName val="목록"/>
      <sheetName val="일위"/>
      <sheetName val="간노비"/>
      <sheetName val="경비"/>
      <sheetName val="산재"/>
      <sheetName val="산재비율"/>
      <sheetName val="고용"/>
      <sheetName val="배부"/>
      <sheetName val="완성1"/>
      <sheetName val="완성2"/>
      <sheetName val="일반"/>
      <sheetName val="일반비율"/>
      <sheetName val="이윤"/>
      <sheetName val="이윤비율"/>
      <sheetName val="출력제외----"/>
      <sheetName val="안전"/>
      <sheetName val="안전비율"/>
      <sheetName val="내역2"/>
      <sheetName val="목록2"/>
      <sheetName val="단가2"/>
      <sheetName val="일위2"/>
      <sheetName val="준설산출근거"/>
      <sheetName val="퇴직"/>
      <sheetName val="건강"/>
      <sheetName val="연금"/>
      <sheetName val="노인"/>
      <sheetName val="danga"/>
      <sheetName val="ilch"/>
      <sheetName val="일위대가표"/>
      <sheetName val="FAB별"/>
      <sheetName val="연돌일위집계"/>
      <sheetName val="96월별PL"/>
      <sheetName val="9GNG운반"/>
      <sheetName val="관로공사"/>
      <sheetName val="집계표"/>
      <sheetName val="자금신청서"/>
      <sheetName val="갑지"/>
      <sheetName val="Tables"/>
      <sheetName val="기초일위"/>
      <sheetName val="시설일위"/>
      <sheetName val="조명일위"/>
      <sheetName val="연부97-1"/>
      <sheetName val="공량산출서"/>
      <sheetName val="9567매출"/>
      <sheetName val="납부서"/>
      <sheetName val="APT"/>
      <sheetName val="기본일위"/>
      <sheetName val="직노"/>
      <sheetName val="내역서2안"/>
      <sheetName val="실행내역"/>
      <sheetName val="총괄내역서"/>
      <sheetName val="dBase"/>
      <sheetName val="PROJECT BRIEF(EX.NEW)"/>
      <sheetName val="_XLS__XLS__XLS__XLS__XLS__XLS__"/>
      <sheetName val="Bill"/>
      <sheetName val="예산서"/>
      <sheetName val="단가비교표"/>
      <sheetName val="노무비 근거"/>
      <sheetName val="기초공"/>
      <sheetName val="기둥(원형)"/>
      <sheetName val="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77"/>
      <sheetName val="#REF"/>
      <sheetName val="6PILE  (돌출)"/>
      <sheetName val="직노"/>
      <sheetName val="노임"/>
      <sheetName val="인건-측정"/>
      <sheetName val="수량산출"/>
      <sheetName val="NOMUBI"/>
      <sheetName val="sw1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"/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J直材4"/>
      <sheetName val="1안"/>
      <sheetName val="샘플표지"/>
      <sheetName val="N賃率-職"/>
      <sheetName val="ABUT수량-A1"/>
      <sheetName val="단가비교표"/>
      <sheetName val="일위"/>
      <sheetName val="매립"/>
      <sheetName val="원가 (2)"/>
      <sheetName val="I一般比"/>
      <sheetName val="과천MAIN"/>
      <sheetName val="노임"/>
      <sheetName val="내역서1999.8최종"/>
      <sheetName val="품목납기"/>
      <sheetName val="Sheet2"/>
      <sheetName val="신우"/>
      <sheetName val="예가표"/>
      <sheetName val="일위대가목차"/>
      <sheetName val="2F 회의실견적(5_14 일대)"/>
      <sheetName val="송라초중학교(final)"/>
      <sheetName val="집계표"/>
      <sheetName val="제-노임"/>
      <sheetName val="제직재"/>
      <sheetName val="전차선로 물량표"/>
      <sheetName val="여과지동"/>
      <sheetName val="기초자료"/>
      <sheetName val="sw1"/>
      <sheetName val="NOMUBI"/>
      <sheetName val="감가상각"/>
      <sheetName val="96갑지"/>
      <sheetName val="#REF"/>
      <sheetName val="인건-측정"/>
      <sheetName val="기본일위"/>
      <sheetName val="Macro1"/>
      <sheetName val="S0"/>
      <sheetName val="Sheet1"/>
      <sheetName val="정부노임단가"/>
      <sheetName val="자재단가"/>
      <sheetName val="동원(3)"/>
      <sheetName val="예정(3)"/>
      <sheetName val="노무비"/>
      <sheetName val="PANEL_중량산출"/>
      <sheetName val="원가_(2)"/>
      <sheetName val="터널조도"/>
      <sheetName val="내역(영일)"/>
      <sheetName val="조도계산서 (도서)"/>
      <sheetName val="6PILE  (돌출)"/>
      <sheetName val="대치판정"/>
      <sheetName val="CT "/>
      <sheetName val="copy"/>
      <sheetName val="실행내역서 "/>
      <sheetName val="설계명세서(선로)"/>
      <sheetName val="내역"/>
      <sheetName val="갑지"/>
      <sheetName val="일_4_"/>
      <sheetName val="N賃率_職"/>
      <sheetName val="총_구조물공"/>
      <sheetName val="내역서1-2"/>
      <sheetName val="내역서2안"/>
      <sheetName val="2.대외공문"/>
      <sheetName val="설계명세서"/>
      <sheetName val="일(4)"/>
      <sheetName val="수량산출(음암)"/>
      <sheetName val="00노임기준"/>
      <sheetName val="일위대가"/>
      <sheetName val="관리자"/>
      <sheetName val="재료비"/>
      <sheetName val="데이타"/>
      <sheetName val="식재인부"/>
      <sheetName val="금액내역서"/>
      <sheetName val="설직재-1"/>
      <sheetName val="1.토공집계표"/>
      <sheetName val="H-PILE수량집계"/>
      <sheetName val="참조"/>
      <sheetName val="직노"/>
      <sheetName val="실행내역"/>
      <sheetName val="토목공사일반"/>
      <sheetName val="집계"/>
      <sheetName val="패널"/>
      <sheetName val="99노임기준"/>
      <sheetName val="구체"/>
      <sheetName val="좌측날개벽"/>
      <sheetName val="우측날개벽"/>
      <sheetName val="실측자료"/>
      <sheetName val="setup"/>
      <sheetName val="연습"/>
      <sheetName val="식재수량표"/>
      <sheetName val="노임단가"/>
      <sheetName val="9GNG운반"/>
      <sheetName val="합천내역"/>
      <sheetName val="제출내역 (2)"/>
      <sheetName val="工완성공사율"/>
      <sheetName val="단가 (2)"/>
      <sheetName val="이월가격"/>
      <sheetName val="시행후면적"/>
      <sheetName val="수지예산"/>
      <sheetName val="전신환매도율"/>
      <sheetName val="원본(갑지)"/>
      <sheetName val="중기사용료"/>
      <sheetName val="하조서"/>
      <sheetName val="설비"/>
      <sheetName val="부산4"/>
      <sheetName val="약품설비"/>
      <sheetName val="부대공Ⅱ"/>
      <sheetName val="산출내역서집계표"/>
      <sheetName val="내역을"/>
      <sheetName val="안전장치"/>
      <sheetName val="임시정보시트"/>
      <sheetName val="임율"/>
      <sheetName val="전시사인집계"/>
      <sheetName val="수량"/>
      <sheetName val="목록"/>
      <sheetName val="단가"/>
      <sheetName val="G.R300경비"/>
      <sheetName val="관급_File"/>
      <sheetName val="부하LOAD"/>
      <sheetName val="ITEM"/>
      <sheetName val="인건비"/>
      <sheetName val="부하(성남)"/>
      <sheetName val="부대내역"/>
      <sheetName val="OPT7"/>
      <sheetName val="외천교"/>
      <sheetName val="종배수관"/>
      <sheetName val="실정공사비단가표"/>
      <sheetName val=" 총괄표"/>
      <sheetName val="단가 및 재료비"/>
      <sheetName val="중기사용료산출근거"/>
      <sheetName val="단가표"/>
      <sheetName val="Total"/>
      <sheetName val="설계기준"/>
      <sheetName val="내역1"/>
      <sheetName val="역T형교대(말뚝기초)"/>
      <sheetName val="토적표"/>
      <sheetName val="발신정보"/>
      <sheetName val="1.일위대가"/>
      <sheetName val="날개벽"/>
      <sheetName val="정공공사"/>
      <sheetName val="갑"/>
      <sheetName val="호남2"/>
      <sheetName val="소요자재"/>
      <sheetName val="10월가격"/>
      <sheetName val="기타유틸리티설비"/>
      <sheetName val="명세서"/>
      <sheetName val="일위대가목록"/>
      <sheetName val="한전고리-을"/>
      <sheetName val="K1자재(3차등)"/>
      <sheetName val="Sheet3"/>
      <sheetName val="우각부보강"/>
      <sheetName val="2F_회의실견적(5_14_일대)"/>
      <sheetName val="원가계산서"/>
      <sheetName val="유기공정"/>
      <sheetName val="실행철강하도"/>
      <sheetName val="COVER"/>
      <sheetName val="산출내역서"/>
      <sheetName val="직공비"/>
      <sheetName val="Piping Design Data"/>
      <sheetName val="SCH"/>
      <sheetName val="저리조양"/>
      <sheetName val="사업장공제"/>
      <sheetName val="산출근거#2-3"/>
      <sheetName val="일보"/>
      <sheetName val="현장지지물물량"/>
      <sheetName val="SBarch산근"/>
      <sheetName val="예총"/>
      <sheetName val="CTEMCOST"/>
      <sheetName val="일위총괄표"/>
      <sheetName val="소방"/>
      <sheetName val="건축-물가변동"/>
      <sheetName val="공량서"/>
      <sheetName val="기관"/>
      <sheetName val="257A1"/>
      <sheetName val="교환노무"/>
      <sheetName val="금호"/>
      <sheetName val="총괄"/>
      <sheetName val="DATE"/>
      <sheetName val="약품공급2"/>
      <sheetName val="운동장 (2)"/>
      <sheetName val="Sheet4"/>
      <sheetName val="업무분장 "/>
      <sheetName val="공통"/>
      <sheetName val="인사자료총집계"/>
      <sheetName val="공통가설"/>
      <sheetName val="노원열병합  건축공사기성내역서"/>
      <sheetName val="소비자가"/>
      <sheetName val="판매96"/>
      <sheetName val="직재"/>
      <sheetName val="price"/>
      <sheetName val="배수공 시멘트 및 골재량 산출"/>
      <sheetName val="WORK"/>
      <sheetName val="DATA"/>
      <sheetName val="표지"/>
      <sheetName val="내역서1999_8최종"/>
      <sheetName val="각형맨홀"/>
      <sheetName val="실행비교"/>
      <sheetName val="Project Brief"/>
      <sheetName val="물량산출근거"/>
      <sheetName val="단위수량"/>
      <sheetName val="가시설수량"/>
      <sheetName val="관급자재대"/>
      <sheetName val="입찰안"/>
      <sheetName val="도급"/>
      <sheetName val="사통"/>
      <sheetName val="Macro(차단기)"/>
      <sheetName val="순공사비"/>
      <sheetName val="가설건물"/>
      <sheetName val="SANBAISU"/>
      <sheetName val="SANTOGO"/>
      <sheetName val="차액보증"/>
      <sheetName val="JUCK"/>
      <sheetName val="PANEL_중량산출1"/>
      <sheetName val="조도계산서_(도서)"/>
      <sheetName val="원가_(2)1"/>
      <sheetName val="전차선로_물량표"/>
      <sheetName val="Piping_Design_Data"/>
      <sheetName val="6PILE__(돌출)"/>
      <sheetName val="CT_"/>
      <sheetName val="실행내역서_"/>
      <sheetName val="2_대외공문"/>
      <sheetName val="1_토공집계표"/>
      <sheetName val="제출내역_(2)"/>
      <sheetName val="단가_(2)"/>
      <sheetName val="부하계산서"/>
      <sheetName val="6호기"/>
      <sheetName val="재무가정"/>
      <sheetName val="anaysis_sheet"/>
      <sheetName val="산근"/>
      <sheetName val="단면치수"/>
      <sheetName val="기판현황  "/>
      <sheetName val="OH공량old"/>
      <sheetName val="PROCESS"/>
      <sheetName val="001"/>
      <sheetName val=" HIT-&gt;HMC 견적(3900)"/>
      <sheetName val="표지판단위"/>
      <sheetName val="MOTOR"/>
      <sheetName val="배수공"/>
      <sheetName val="암거"/>
      <sheetName val="포장공"/>
      <sheetName val="골재집계"/>
      <sheetName val="공종별 집계"/>
      <sheetName val="호안공"/>
      <sheetName val="소상 &quot;1&quot;"/>
      <sheetName val="MFAB"/>
      <sheetName val="MFRT"/>
      <sheetName val="MPKG"/>
      <sheetName val="MPRD"/>
      <sheetName val="인제내역"/>
      <sheetName val="교통대책내역"/>
      <sheetName val="재집"/>
      <sheetName val="유림골조"/>
      <sheetName val="설계내역서"/>
      <sheetName val="인테리어세부내역"/>
      <sheetName val="한강운반비"/>
      <sheetName val="T13(P68~72,78)"/>
      <sheetName val="예산결제란"/>
      <sheetName val="관급"/>
      <sheetName val="WIND"/>
      <sheetName val="공통(20-91)"/>
      <sheetName val="pbs_lambda"/>
      <sheetName val="Matériel embarqué PVC"/>
      <sheetName val="투찰"/>
      <sheetName val="해체"/>
      <sheetName val="8.PILE  (돌출)"/>
      <sheetName val="danga"/>
      <sheetName val="ilch"/>
      <sheetName val="날개벽수량표"/>
      <sheetName val="견적3"/>
      <sheetName val="PROJECT BRIEF(EX.NEW)"/>
      <sheetName val="공사개요"/>
      <sheetName val="참고"/>
      <sheetName val="List"/>
      <sheetName val="갑지(추정)"/>
      <sheetName val="맨홀"/>
      <sheetName val="cost"/>
      <sheetName val="A-4"/>
      <sheetName val="구조물철거타공정이월"/>
      <sheetName val="YES-T"/>
      <sheetName val="xxxxxx"/>
      <sheetName val="VXXXXXXX"/>
      <sheetName val="견적내용입력"/>
      <sheetName val="분석"/>
      <sheetName val="시나리오2"/>
      <sheetName val="1기 비용"/>
      <sheetName val="시나리오"/>
      <sheetName val="토사(PE)"/>
      <sheetName val="2F_회의실견적(5_14_일대)1"/>
      <sheetName val="배수공_시멘트_및_골재량_산출"/>
      <sheetName val="G_R300경비"/>
      <sheetName val="_총괄표"/>
      <sheetName val="단가_및_재료비"/>
      <sheetName val="1_일위대가"/>
      <sheetName val="운동장_(2)"/>
      <sheetName val="업무분장_"/>
      <sheetName val="PANEL_중량산출2"/>
      <sheetName val="원가_(2)2"/>
      <sheetName val="내역서1999_8최종1"/>
      <sheetName val="2F_회의실견적(5_14_일대)2"/>
      <sheetName val="실행내역서_1"/>
      <sheetName val="전차선로_물량표1"/>
      <sheetName val="6PILE__(돌출)1"/>
      <sheetName val="조도계산서_(도서)1"/>
      <sheetName val="CT_1"/>
      <sheetName val="2_대외공문1"/>
      <sheetName val="1_토공집계표1"/>
      <sheetName val="제출내역_(2)1"/>
      <sheetName val="단가_(2)1"/>
      <sheetName val="배수공_시멘트_및_골재량_산출1"/>
      <sheetName val="G_R300경비1"/>
      <sheetName val="_총괄표1"/>
      <sheetName val="단가_및_재료비1"/>
      <sheetName val="1_일위대가1"/>
      <sheetName val="운동장_(2)1"/>
      <sheetName val="업무분장_1"/>
      <sheetName val="Piping_Design_Data1"/>
      <sheetName val="XL4Poppy"/>
      <sheetName val="5.모델링"/>
      <sheetName val="L형측구단위수량"/>
      <sheetName val="L형측구연장조서"/>
      <sheetName val="도로경계블럭단위수량"/>
      <sheetName val="도로경계블럭단위토공"/>
      <sheetName val="Tool"/>
      <sheetName val="1을"/>
      <sheetName val="공비대비"/>
      <sheetName val="CP-E2 (품셈표)"/>
      <sheetName val="코드표"/>
      <sheetName val="원형1호맨홀토공수량"/>
      <sheetName val="주차구획선수량"/>
      <sheetName val="기술자료 (연수)"/>
      <sheetName val="와동25-3(변경)"/>
      <sheetName val="대비"/>
      <sheetName val="IN"/>
      <sheetName val="8-3기계경비"/>
    </sheetNames>
    <sheetDataSet>
      <sheetData sheetId="0" refreshError="1"/>
      <sheetData sheetId="1">
        <row r="3">
          <cell r="A3">
            <v>3</v>
          </cell>
        </row>
      </sheetData>
      <sheetData sheetId="2">
        <row r="3">
          <cell r="A3">
            <v>3</v>
          </cell>
        </row>
      </sheetData>
      <sheetData sheetId="3">
        <row r="3">
          <cell r="A3">
            <v>3</v>
          </cell>
        </row>
      </sheetData>
      <sheetData sheetId="4">
        <row r="3">
          <cell r="A3">
            <v>3</v>
          </cell>
        </row>
      </sheetData>
      <sheetData sheetId="5">
        <row r="3">
          <cell r="A3">
            <v>3</v>
          </cell>
        </row>
      </sheetData>
      <sheetData sheetId="6">
        <row r="3">
          <cell r="A3">
            <v>3</v>
          </cell>
        </row>
      </sheetData>
      <sheetData sheetId="7">
        <row r="3">
          <cell r="A3">
            <v>3</v>
          </cell>
        </row>
      </sheetData>
      <sheetData sheetId="8">
        <row r="3">
          <cell r="A3">
            <v>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7"/>
      <sheetName val="OPT7"/>
      <sheetName val="Care"/>
      <sheetName val="MS"/>
      <sheetName val="RACK"/>
      <sheetName val="BL20pG2"/>
      <sheetName val="BL30p"/>
      <sheetName val="BL40p"/>
      <sheetName val="ML150"/>
      <sheetName val="ML350G3"/>
      <sheetName val="ML350G4"/>
      <sheetName val="ML370G3"/>
      <sheetName val="ML370G4"/>
      <sheetName val="ML570G2"/>
      <sheetName val="DL140"/>
      <sheetName val="DL360G3"/>
      <sheetName val="DL360G4"/>
      <sheetName val="DL380G3"/>
      <sheetName val="DL380G4"/>
      <sheetName val="DL380G3CP"/>
      <sheetName val="DL380G4CP"/>
      <sheetName val="DL560"/>
      <sheetName val="DL580G2"/>
      <sheetName val="DL585"/>
      <sheetName val="DL740"/>
      <sheetName val="DL760G2"/>
      <sheetName val="Backup"/>
      <sheetName val="NAS 1200s"/>
      <sheetName val="NAS 2ks"/>
      <sheetName val="NAS 4ks"/>
      <sheetName val="580 Stg Svr"/>
      <sheetName val="EVA3000"/>
      <sheetName val="380 Stg Svr_SCSI SATA"/>
      <sheetName val="수량산출"/>
      <sheetName val="직노"/>
      <sheetName val="견적폼_SV(200412_1)"/>
      <sheetName val="과천MAIN"/>
      <sheetName val="내역서"/>
      <sheetName val="Sheet1"/>
      <sheetName val="11월 가격"/>
      <sheetName val="암거"/>
      <sheetName val="포장공"/>
      <sheetName val="배수공"/>
      <sheetName val="부하계산서"/>
      <sheetName val="NOMUBI"/>
      <sheetName val="sw1"/>
      <sheetName val="인건-측정"/>
      <sheetName val="인건비"/>
      <sheetName val="부하(성남)"/>
      <sheetName val="발신정보"/>
      <sheetName val=""/>
      <sheetName val="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# 무양식 ##"/>
      <sheetName val="#REF"/>
      <sheetName val="MOTOR"/>
      <sheetName val="CODE"/>
      <sheetName val="실행철강하도"/>
      <sheetName val="집계표"/>
      <sheetName val="내역서"/>
      <sheetName val="대비"/>
      <sheetName val="원가계산서"/>
      <sheetName val="ITEM"/>
      <sheetName val="Sheet1"/>
      <sheetName val="DATA"/>
      <sheetName val="터널조도"/>
      <sheetName val="데이타"/>
      <sheetName val="조명율표"/>
      <sheetName val="9GNG운반"/>
      <sheetName val="공정코드"/>
      <sheetName val="예정(3)"/>
      <sheetName val="동원(3)"/>
      <sheetName val="Baby일위대가"/>
      <sheetName val="일위대가"/>
      <sheetName val="기계경비(시간당)"/>
      <sheetName val="램머"/>
      <sheetName val="재료"/>
      <sheetName val="변수값"/>
      <sheetName val="중기상차"/>
      <sheetName val="AS복구"/>
      <sheetName val="중기터파기"/>
      <sheetName val="포장복구집계"/>
      <sheetName val="G.R300경비"/>
      <sheetName val="AS포장복구 "/>
      <sheetName val="★도급내역"/>
      <sheetName val="1.취수장"/>
      <sheetName val="공사비총괄표"/>
      <sheetName val="단가"/>
      <sheetName val="총괄내역서"/>
      <sheetName val="내역"/>
      <sheetName val="연결임시"/>
      <sheetName val="2000전체분"/>
      <sheetName val="2000년1차"/>
      <sheetName val="청천내"/>
      <sheetName val="200"/>
      <sheetName val="조건표"/>
      <sheetName val="결과조달"/>
      <sheetName val="차액보증"/>
      <sheetName val="현장관리비 산출내역"/>
      <sheetName val="부안일위"/>
      <sheetName val="실행대비"/>
      <sheetName val="JUCKEYK"/>
      <sheetName val="BID"/>
      <sheetName val="충주"/>
      <sheetName val="저"/>
      <sheetName val="SG"/>
      <sheetName val="견적대비표"/>
      <sheetName val="건축내역"/>
      <sheetName val="본공사"/>
      <sheetName val="S0"/>
      <sheetName val="DATE"/>
      <sheetName val="하부철근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일위대가"/>
      <sheetName val="자재단가"/>
      <sheetName val="현장관리비"/>
      <sheetName val="산출내역서집계표"/>
      <sheetName val="산출근거"/>
      <sheetName val="변경품셈총괄"/>
      <sheetName val="인력터파기품"/>
      <sheetName val="원남울진낙찰내역(99.4.13 부산청)"/>
      <sheetName val="설비"/>
      <sheetName val="여과지동"/>
      <sheetName val="기초자료"/>
      <sheetName val="내역서 "/>
      <sheetName val="우수"/>
      <sheetName val="내역"/>
      <sheetName val="개요"/>
      <sheetName val="지급자재"/>
      <sheetName val="터널조도"/>
      <sheetName val="하수급견적대비"/>
      <sheetName val="1단계"/>
      <sheetName val="마산방향"/>
      <sheetName val="진주방향"/>
      <sheetName val="노임단가"/>
      <sheetName val="WOR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원남울진낙찰내역(99.4.13 부산청)"/>
      <sheetName val="우배수"/>
      <sheetName val="계산식"/>
      <sheetName val="Sheet1"/>
      <sheetName val="DATE"/>
      <sheetName val="와동25-3(변경)"/>
      <sheetName val="매입세율"/>
      <sheetName val="공사개요"/>
      <sheetName val="JUCK"/>
      <sheetName val="건축집계"/>
      <sheetName val="소상 &quot;1&quot;"/>
      <sheetName val="장비명"/>
      <sheetName val="약품공급2"/>
      <sheetName val="수안보-MBR1"/>
      <sheetName val="공사비집계"/>
      <sheetName val="#REF"/>
      <sheetName val="우각부보강"/>
      <sheetName val="DATA"/>
      <sheetName val="밸브설치"/>
      <sheetName val="설명"/>
      <sheetName val="6PILE  (돌출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1-0"/>
      <sheetName val="진행현황1-1"/>
      <sheetName val="원가2-1"/>
      <sheetName val="내역서2-2"/>
      <sheetName val="사토장위치도3"/>
      <sheetName val="토공수량2-4"/>
      <sheetName val="지정사토반출현황2-5"/>
      <sheetName val="공문현황철2-6"/>
      <sheetName val="사진대지표지"/>
      <sheetName val="토공수량1-4"/>
      <sheetName val="암판정대비"/>
      <sheetName val="병원동토적표"/>
      <sheetName val="부속동토적산출"/>
      <sheetName val="기타사유"/>
      <sheetName val="집수정"/>
      <sheetName val="법당수량산출서"/>
      <sheetName val="지정사토반출현황"/>
      <sheetName val="공문현황철1-5"/>
      <sheetName val="수량산출서1-3"/>
      <sheetName val="내역서1-2"/>
      <sheetName val="사토장2-4"/>
      <sheetName val="Sheet1"/>
      <sheetName val="실행기고및 투입현황(총괄)"/>
      <sheetName val="수량산출"/>
      <sheetName val="U-TYPE(1)"/>
      <sheetName val="직재"/>
      <sheetName val="재집"/>
      <sheetName val="노무비"/>
      <sheetName val="재료비"/>
      <sheetName val="설계예시"/>
      <sheetName val="I一般比"/>
      <sheetName val="6PILE  (돌출)"/>
      <sheetName val="설직재-1"/>
      <sheetName val="내역서"/>
      <sheetName val="금액내역서"/>
      <sheetName val="노임단가"/>
      <sheetName val="데이타"/>
      <sheetName val="식재인부"/>
      <sheetName val="직노"/>
      <sheetName val="선급금신청서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0"/>
      <sheetName val="PIPE"/>
      <sheetName val="을-1"/>
      <sheetName val="수량산출"/>
      <sheetName val="중기사용료산출근거"/>
      <sheetName val="단가 및 재료비"/>
      <sheetName val="공정집계_국별"/>
      <sheetName val="설계명세서"/>
      <sheetName val="환경기계공정표 (3)"/>
      <sheetName val="N賃率-職"/>
      <sheetName val="말뚝지지력산정"/>
      <sheetName val="일(4)"/>
      <sheetName val="간지"/>
      <sheetName val="기본단가표"/>
      <sheetName val="용수량(생활용수)"/>
      <sheetName val="갑지"/>
      <sheetName val="일위대가"/>
      <sheetName val="토적표"/>
      <sheetName val="H-PILE수량집계"/>
      <sheetName val="정공공사"/>
      <sheetName val="건강연금보험"/>
      <sheetName val="고용보험"/>
      <sheetName val="물가발표일"/>
      <sheetName val="산재보험"/>
      <sheetName val="실적공사비발표일"/>
      <sheetName val="안전관리"/>
      <sheetName val="장비기준"/>
      <sheetName val="조경수목"/>
      <sheetName val="퇴직공제부금"/>
      <sheetName val="평균노임"/>
      <sheetName val="I一般比"/>
      <sheetName val="원가계산서"/>
      <sheetName val="구체"/>
      <sheetName val="좌측날개벽"/>
      <sheetName val="우측날개벽"/>
      <sheetName val="단가표"/>
      <sheetName val="지급자재"/>
      <sheetName val="내역서1999.8최종"/>
      <sheetName val="sheet1"/>
      <sheetName val="Total"/>
      <sheetName val="골조시행"/>
      <sheetName val="개산공사비"/>
      <sheetName val="집계표"/>
      <sheetName val="재료비"/>
      <sheetName val="데이타"/>
      <sheetName val="식재인부"/>
      <sheetName val="금액내역서"/>
      <sheetName val="설직재-1"/>
      <sheetName val="노무비"/>
      <sheetName val="인제내역"/>
      <sheetName val="공통(20-91)"/>
      <sheetName val="setup"/>
      <sheetName val="bm(CIcable)"/>
      <sheetName val="건축"/>
      <sheetName val="list"/>
      <sheetName val="총괄내역"/>
      <sheetName val="교통대책내역"/>
      <sheetName val="99노임기준"/>
      <sheetName val="단가대비표"/>
      <sheetName val="00노임기준"/>
      <sheetName val="역T형교대(말뚝기초)"/>
      <sheetName val="일위"/>
      <sheetName val="#REF"/>
      <sheetName val="내역서2안"/>
      <sheetName val="전기"/>
      <sheetName val="____00"/>
      <sheetName val="덕전리"/>
      <sheetName val="건축-물가변동"/>
      <sheetName val="8.석축단위(H=1.5M)"/>
      <sheetName val="COPING-1"/>
      <sheetName val="역T형교대-2수량"/>
      <sheetName val="1.일위대가"/>
      <sheetName val="실행철강하도"/>
      <sheetName val="내역서1-2"/>
      <sheetName val="중기사용료"/>
      <sheetName val="1.설계조건"/>
      <sheetName val="수량산출(음암)"/>
      <sheetName val="결재갑지"/>
      <sheetName val="노임단가"/>
      <sheetName val="단중표"/>
      <sheetName val="내역서"/>
      <sheetName val="제4절-1"/>
      <sheetName val="Sheet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집계"/>
      <sheetName val="주요자재"/>
      <sheetName val="A1"/>
      <sheetName val="A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연부97-1"/>
      <sheetName val="갑지1"/>
      <sheetName val="관급_File"/>
      <sheetName val="암거"/>
      <sheetName val="DATE"/>
      <sheetName val="토사(PE)"/>
      <sheetName val="경율산정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행후면적"/>
      <sheetName val="결재표지1"/>
      <sheetName val="표지"/>
      <sheetName val="증감내역"/>
      <sheetName val="수지예산"/>
      <sheetName val="자재총"/>
      <sheetName val="검토조서"/>
      <sheetName val="신포총괄"/>
      <sheetName val="총괄공사"/>
      <sheetName val="영풍제"/>
      <sheetName val="장암제 "/>
      <sheetName val="언체(신)"/>
      <sheetName val="수량집계(장)"/>
      <sheetName val="평야부집계(장)"/>
      <sheetName val="평야부토적(장)"/>
      <sheetName val="자재집계(장)"/>
      <sheetName val="제당토적(장)"/>
      <sheetName val="여수토수량집계(장)"/>
      <sheetName val="여수토적(장)"/>
      <sheetName val="재료계산(장)"/>
      <sheetName val="평야부토적(신)"/>
      <sheetName val="평야부집계(신)"/>
      <sheetName val="신포제"/>
      <sheetName val="Sheet2"/>
      <sheetName val="재료계산(신)"/>
      <sheetName val="자재집계(신)"/>
      <sheetName val="수량집계(신)"/>
      <sheetName val="여수토적(신)"/>
      <sheetName val="제당토적(신)"/>
      <sheetName val="분수문그림"/>
      <sheetName val="여수토수량집계(신)"/>
      <sheetName val="자재집계(영)"/>
      <sheetName val="수량집계(영)"/>
      <sheetName val="사석헐기(영)"/>
      <sheetName val="여수토옹벽집계(영)"/>
      <sheetName val="영풍개거"/>
      <sheetName val="평야부토적(영)"/>
      <sheetName val="단가조견표"/>
      <sheetName val="단가목록(신)"/>
      <sheetName val="단산목록(신)"/>
      <sheetName val="단가산출기초(신)"/>
      <sheetName val="일일대가(신)"/>
      <sheetName val="자재단가"/>
      <sheetName val="단가목록(영)"/>
      <sheetName val="단산목록(영)"/>
      <sheetName val="일일대가(영)"/>
      <sheetName val="단가산출기초(영)"/>
      <sheetName val="단가목록(장)"/>
      <sheetName val="수로관그림"/>
      <sheetName val="일일대가(장)"/>
      <sheetName val="단산목록(장)"/>
      <sheetName val="단가산출기초(장)"/>
      <sheetName val="중기단가"/>
      <sheetName val="노임단가"/>
      <sheetName val="그라수량(신)"/>
      <sheetName val="그라작업일수(신)"/>
      <sheetName val="주입심도(신)"/>
      <sheetName val="공별내역(신)"/>
      <sheetName val="찬공(신)"/>
      <sheetName val="주입(신)"/>
      <sheetName val="그라수량(영)"/>
      <sheetName val="그라작업일수(영)"/>
      <sheetName val="주입심도(영)"/>
      <sheetName val="공별내역(영)"/>
      <sheetName val="찬공(영)"/>
      <sheetName val="주입(영)"/>
      <sheetName val="Sheet1"/>
      <sheetName val="수량산출"/>
      <sheetName val="관급자재"/>
      <sheetName val="변경관급자재"/>
      <sheetName val="투찰추정"/>
      <sheetName val="자재집계(장曬"/>
      <sheetName val="집계표"/>
      <sheetName val="단가표"/>
      <sheetName val="일위대가"/>
      <sheetName val="N賃率-職"/>
      <sheetName val="#REF"/>
      <sheetName val="신우"/>
      <sheetName val="단가일람"/>
      <sheetName val="조경일람"/>
      <sheetName val="Sheet3"/>
      <sheetName val="단위량당중기"/>
      <sheetName val="호표총"/>
      <sheetName val="갑지1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98수문일위"/>
      <sheetName val="일위(PN)"/>
      <sheetName val="U-TYPE(1)"/>
      <sheetName val="중기일위대가"/>
      <sheetName val="내역"/>
      <sheetName val="젖지"/>
      <sheetName val="소형맨홀"/>
      <sheetName val="단가산출목록표"/>
      <sheetName val="6PILE  (돌출)"/>
      <sheetName val="96보완계획7.12"/>
      <sheetName val="수로단위수량"/>
      <sheetName val="토공"/>
      <sheetName val="Sheet5"/>
      <sheetName val="조명시설"/>
      <sheetName val="파일의이용"/>
      <sheetName val="단가"/>
      <sheetName val="포장절단"/>
      <sheetName val="COST"/>
      <sheetName val="측량요율"/>
      <sheetName val="1안"/>
      <sheetName val="교각계산"/>
      <sheetName val="수량집계"/>
      <sheetName val="기초자료"/>
      <sheetName val="시설수량표"/>
      <sheetName val="식재수량표"/>
      <sheetName val="D-경비1"/>
      <sheetName val="8.PILE  (돌출)"/>
      <sheetName val="단가산출"/>
      <sheetName val="소포내역 (2)"/>
      <sheetName val="내역서2안"/>
      <sheetName val="부하계산서"/>
      <sheetName val="기계"/>
      <sheetName val="EP0618"/>
      <sheetName val="갑지(추정)"/>
      <sheetName val="용수로조직"/>
      <sheetName val="갑지"/>
      <sheetName val="안전시설내역서"/>
      <sheetName val="원가&amp;하도급원가"/>
      <sheetName val="일용노임단가"/>
      <sheetName val="공사자료입력"/>
      <sheetName val="설계예산서(견적서)"/>
      <sheetName val="단가조사"/>
      <sheetName val="공통단가"/>
      <sheetName val="운반비"/>
      <sheetName val="사각1,특1호"/>
      <sheetName val="총총괄표"/>
      <sheetName val="타견적(을)"/>
      <sheetName val="기기리스트"/>
      <sheetName val="13년 하반기노무비"/>
      <sheetName val="물가대비표"/>
      <sheetName val="요율"/>
      <sheetName val="단"/>
      <sheetName val="일위대가(4층원격)"/>
      <sheetName val="전체내역서"/>
      <sheetName val="INPUT"/>
      <sheetName val="장암제_"/>
      <sheetName val="중기사용료"/>
      <sheetName val="수안보-MBR1"/>
      <sheetName val="일위목록"/>
      <sheetName val="설비"/>
      <sheetName val="SG"/>
      <sheetName val="6공구(당초)"/>
      <sheetName val="JUCKEYK"/>
      <sheetName val="1단계"/>
      <sheetName val="단가비교표"/>
      <sheetName val="예산서"/>
      <sheetName val="노무비 근거"/>
      <sheetName val="복리후생비9월(동방)"/>
      <sheetName val="사회복지관"/>
      <sheetName val="복리"/>
      <sheetName val="단가(1)"/>
      <sheetName val="백암비스타내역"/>
      <sheetName val="증감내역서"/>
      <sheetName val="CON'C"/>
      <sheetName val="을지"/>
      <sheetName val="설직재-1"/>
      <sheetName val="2공구산출내역"/>
      <sheetName val="별첨-기계경비 산출목록"/>
      <sheetName val="내역서1999.8최종"/>
      <sheetName val="일위대가목록"/>
      <sheetName val="도급대가"/>
      <sheetName val="산출근거2"/>
      <sheetName val="산출근거1"/>
      <sheetName val="대비"/>
      <sheetName val="XL4Poppy"/>
      <sheetName val="뚝토공"/>
      <sheetName val="06 일위대가목록"/>
      <sheetName val="7.PILE  (돌출)"/>
      <sheetName val="토목주소"/>
      <sheetName val="프랜트면허"/>
      <sheetName val="견적사양비교표"/>
      <sheetName val="자  재"/>
      <sheetName val="건축외주"/>
      <sheetName val="음성방향"/>
      <sheetName val="단면별연장"/>
      <sheetName val="분수공별 면적"/>
      <sheetName val="관로조직표"/>
      <sheetName val="S12"/>
      <sheetName val="단가대비표"/>
      <sheetName val="날개벽(좌,우=60도-4개)"/>
      <sheetName val="제직재"/>
      <sheetName val="제-노임"/>
      <sheetName val="직재"/>
      <sheetName val="단위량"/>
      <sheetName val="재료집계표2"/>
      <sheetName val="토적집계표"/>
      <sheetName val="금액내역서"/>
      <sheetName val="일위대가표"/>
      <sheetName val="토사(PE)"/>
      <sheetName val="단위수량"/>
      <sheetName val="복주식단위수량"/>
      <sheetName val="Macro1"/>
      <sheetName val="출입구총집계"/>
      <sheetName val="3~7.기성현황"/>
      <sheetName val="설계명세서"/>
      <sheetName val="경산"/>
      <sheetName val="일위대가(건축)"/>
      <sheetName val="내역서"/>
      <sheetName val="COVER"/>
      <sheetName val="Mc1"/>
      <sheetName val="설계예시"/>
      <sheetName val="일위대가목차"/>
    </sheetNames>
    <sheetDataSet>
      <sheetData sheetId="0" refreshError="1"/>
      <sheetData sheetId="1">
        <row r="59">
          <cell r="O59">
            <v>82</v>
          </cell>
        </row>
      </sheetData>
      <sheetData sheetId="2">
        <row r="59">
          <cell r="O59">
            <v>82</v>
          </cell>
        </row>
      </sheetData>
      <sheetData sheetId="3">
        <row r="59">
          <cell r="O59">
            <v>82</v>
          </cell>
        </row>
      </sheetData>
      <sheetData sheetId="4">
        <row r="59">
          <cell r="O59">
            <v>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실행내역"/>
      <sheetName val="일위대가목록"/>
      <sheetName val="J直材4"/>
      <sheetName val="N賃率-職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노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공정율"/>
      <sheetName val="pldt"/>
      <sheetName val="건집"/>
      <sheetName val="건축"/>
      <sheetName val="기설집"/>
      <sheetName val="설집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VXXXXX"/>
      <sheetName val="적용대가"/>
      <sheetName val="지수내역"/>
      <sheetName val="노(97.1,97.9,98.1)"/>
      <sheetName val="노임단가"/>
      <sheetName val="일위대가목록"/>
      <sheetName val="내역서2안"/>
      <sheetName val="Sheet1"/>
      <sheetName val="일위_파일"/>
      <sheetName val="견적서"/>
      <sheetName val="출력은 금물"/>
      <sheetName val="철거산출근거"/>
      <sheetName val="일위대가(건축)"/>
      <sheetName val="Baby일위대가"/>
      <sheetName val="일위대가"/>
      <sheetName val=" 냉각수펌프"/>
      <sheetName val="경산"/>
      <sheetName val="단가 "/>
      <sheetName val="COVER"/>
      <sheetName val="직재"/>
      <sheetName val="#REF"/>
      <sheetName val="수량산출"/>
      <sheetName val="소비자가"/>
      <sheetName val="단가조사"/>
      <sheetName val="저"/>
      <sheetName val="내역서(삼호)"/>
      <sheetName val="2공구산출내역"/>
      <sheetName val="간접비"/>
      <sheetName val="일위대가(출입)"/>
      <sheetName val="EJ"/>
      <sheetName val="대,유,램"/>
      <sheetName val="국별인원"/>
      <sheetName val="식재일위대가"/>
      <sheetName val="J直材4"/>
      <sheetName val="일위대가(4층원격)"/>
      <sheetName val="기초일위대가"/>
      <sheetName val="단가대비표"/>
      <sheetName val="산출기초"/>
      <sheetName val="연결관암거"/>
      <sheetName val="적용건축"/>
      <sheetName val="표지"/>
      <sheetName val="기계내역"/>
      <sheetName val="KKK"/>
      <sheetName val="Sheet3"/>
      <sheetName val="도급내역서"/>
      <sheetName val="9GNG운반"/>
      <sheetName val="기계경비(시간당)"/>
      <sheetName val="램머"/>
      <sheetName val="차액보증"/>
      <sheetName val="부분별수량산출(조합기초)"/>
      <sheetName val="Sheet1 (2)"/>
      <sheetName val="소방"/>
      <sheetName val="COL"/>
      <sheetName val="터파기및재료"/>
      <sheetName val="2F 회의실견적(5_14 일대)"/>
      <sheetName val="N賃率-職"/>
      <sheetName val="Sheet5"/>
      <sheetName val="Macro1"/>
      <sheetName val="물가자료"/>
      <sheetName val="손익분석"/>
      <sheetName val="단가조사서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Sheet38"/>
      <sheetName val="기자재비"/>
      <sheetName val="금액내역서"/>
      <sheetName val="데리네이타현황"/>
      <sheetName val="DATA"/>
      <sheetName val="데이타"/>
      <sheetName val="Sheet2"/>
      <sheetName val="1안"/>
      <sheetName val="내역서"/>
      <sheetName val="설직재-1"/>
      <sheetName val="부속동"/>
      <sheetName val="을"/>
      <sheetName val="정부노임단가"/>
      <sheetName val="일위목록"/>
      <sheetName val="대운반(철재)"/>
      <sheetName val="쌍송교"/>
      <sheetName val="일반전기C"/>
      <sheetName val="부대공"/>
      <sheetName val="포장공"/>
      <sheetName val="토공"/>
      <sheetName val="ilch"/>
      <sheetName val="단위중량"/>
      <sheetName val="공량(1월22일)"/>
      <sheetName val="도급내역"/>
      <sheetName val="AHU집계"/>
      <sheetName val="수지예산"/>
      <sheetName val="건축원가"/>
      <sheetName val="골조시행"/>
      <sheetName val="샘플표지"/>
      <sheetName val="대보~세기"/>
      <sheetName val="단가산출"/>
      <sheetName val="일위"/>
      <sheetName val="산출-설비"/>
      <sheetName val="부대내역"/>
      <sheetName val="흥양2교토공집계표"/>
      <sheetName val="I一般比"/>
      <sheetName val="노(97_1,97_9,98_1)"/>
      <sheetName val="출력은_금물"/>
      <sheetName val="_냉각수펌프"/>
      <sheetName val="단가_"/>
      <sheetName val="Base"/>
      <sheetName val="C3"/>
      <sheetName val="납부서"/>
      <sheetName val="일위대가내역"/>
      <sheetName val="목록"/>
      <sheetName val="ESCO개보수공사"/>
      <sheetName val="을지"/>
      <sheetName val="대목"/>
      <sheetName val="전담운영PM"/>
      <sheetName val="WORK"/>
      <sheetName val="일위대가표"/>
      <sheetName val="1차 내역서"/>
      <sheetName val="사업부배부A"/>
      <sheetName val="기계설비표선정수장"/>
      <sheetName val="3BL공동구 수량"/>
      <sheetName val="수공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품셈"/>
      <sheetName val="인건비"/>
      <sheetName val="현장관리비 산출내역"/>
      <sheetName val="중기사용료"/>
      <sheetName val="가로등내역서"/>
      <sheetName val="원내역"/>
      <sheetName val="외주비"/>
      <sheetName val="일반공사"/>
      <sheetName val="공사미수"/>
      <sheetName val="대공종"/>
      <sheetName val="1구간BOQ"/>
      <sheetName val="말뚝지지력산정"/>
      <sheetName val="BOQ(전체)"/>
      <sheetName val="주소"/>
      <sheetName val="설계예시"/>
      <sheetName val="Mc1"/>
      <sheetName val="갑지(추정)"/>
      <sheetName val="공통(20-91)"/>
      <sheetName val="ELECTRIC"/>
      <sheetName val="내역(100%)"/>
      <sheetName val="사업수지"/>
      <sheetName val="표지1"/>
      <sheetName val="단"/>
      <sheetName val="산출근거(단청공사)"/>
      <sheetName val="WEIGHT LIST"/>
      <sheetName val="POL6차-PIPING"/>
      <sheetName val="물량"/>
      <sheetName val="산#2-1 (2)"/>
      <sheetName val="산#3-1"/>
      <sheetName val="토목내역서 (도급단가)"/>
      <sheetName val="재집"/>
      <sheetName val="Y-WORK"/>
      <sheetName val="패널"/>
      <sheetName val="TANK견적대지"/>
      <sheetName val="sst,stl창호"/>
      <sheetName val="실행내역"/>
      <sheetName val="실행철강하도"/>
      <sheetName val="산출내역서"/>
      <sheetName val="기둥(원형)"/>
      <sheetName val="기초공"/>
      <sheetName val="아파트건축"/>
      <sheetName val="원가계산"/>
      <sheetName val="수정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재료단가"/>
      <sheetName val="현장"/>
      <sheetName val="예산M11A"/>
      <sheetName val="건축내역"/>
      <sheetName val="101동"/>
      <sheetName val="2000년1차"/>
      <sheetName val="2000전체분"/>
      <sheetName val="출자한도"/>
      <sheetName val="교통대책내역"/>
      <sheetName val="일대-1"/>
      <sheetName val="공사개요(서광주)"/>
      <sheetName val="백암비스타내역"/>
      <sheetName val="MAIN_TABLE"/>
      <sheetName val="기본일위"/>
      <sheetName val="기초자료"/>
      <sheetName val="기본단가표"/>
      <sheetName val="식재인부"/>
      <sheetName val="재료"/>
      <sheetName val="영창26"/>
      <sheetName val="요율"/>
      <sheetName val="공사비총괄표"/>
      <sheetName val="본공사"/>
      <sheetName val="적용토목"/>
      <sheetName val="갑지"/>
      <sheetName val="기초내역서"/>
      <sheetName val="대가목록표"/>
      <sheetName val="내역서중"/>
      <sheetName val="일위(PANEL)"/>
      <sheetName val="대로근거"/>
      <sheetName val="관로토공"/>
      <sheetName val="우수관"/>
      <sheetName val="토사(PE)"/>
      <sheetName val="실행"/>
      <sheetName val="설계서"/>
      <sheetName val="골재산출"/>
      <sheetName val="산근"/>
      <sheetName val="AIR SHOWER(3인용)"/>
      <sheetName val="연부97-1"/>
      <sheetName val="자갈,시멘트,모래산출"/>
      <sheetName val="자료"/>
      <sheetName val="총괄표"/>
      <sheetName val="차수공개요"/>
      <sheetName val="조명율표"/>
      <sheetName val="본체"/>
      <sheetName val="5공철탑검토표"/>
      <sheetName val="4공철탑검토"/>
      <sheetName val="철탑공사"/>
      <sheetName val="예산"/>
      <sheetName val="Customer Databas"/>
      <sheetName val="위생설비"/>
      <sheetName val="스포회원매출"/>
      <sheetName val="원가 (2)"/>
      <sheetName val="#2_일위대가목록"/>
      <sheetName val="DAN"/>
      <sheetName val="백호우계수"/>
      <sheetName val="공사비"/>
      <sheetName val="1공구내역"/>
      <sheetName val="별표"/>
      <sheetName val="건축공사실행"/>
      <sheetName val="공량산출서"/>
      <sheetName val="중기일위대가"/>
      <sheetName val="일위목록-기"/>
      <sheetName val="BOX전기내역"/>
      <sheetName val="공조기휀"/>
      <sheetName val="원가계산서"/>
      <sheetName val="CTEMCOST"/>
      <sheetName val="식재수량표"/>
      <sheetName val="길어깨(현황)"/>
      <sheetName val="MOTOR"/>
      <sheetName val="60명당사(총괄)"/>
      <sheetName val="공종별내역서"/>
      <sheetName val="공통가설공사"/>
      <sheetName val="일위대가목차"/>
      <sheetName val="공통가설"/>
      <sheetName val="SG"/>
      <sheetName val="합천내역"/>
      <sheetName val="전기일위대가"/>
      <sheetName val="BID"/>
      <sheetName val="INPUT"/>
      <sheetName val="인사자료총집계"/>
      <sheetName val="70%"/>
      <sheetName val="설계기준"/>
      <sheetName val="예산총괄표"/>
      <sheetName val="시설물기초"/>
      <sheetName val="단위단가"/>
      <sheetName val="요약&amp;결과"/>
      <sheetName val="Sheet1_(2)"/>
      <sheetName val="2F_회의실견적(5_14_일대)"/>
      <sheetName val="냉천부속동"/>
      <sheetName val="ITEM"/>
      <sheetName val="TABLE"/>
      <sheetName val="RAHMEN"/>
      <sheetName val="6PILE  (돌출)"/>
      <sheetName val="asd"/>
      <sheetName val="산출근거"/>
      <sheetName val="지하"/>
      <sheetName val="당초"/>
      <sheetName val="교각별철근수량집계표"/>
      <sheetName val="지질조사"/>
      <sheetName val="NYS"/>
      <sheetName val="단중표"/>
      <sheetName val="코드표"/>
      <sheetName val="재료비노무비"/>
      <sheetName val="토공(우물통,기타) "/>
      <sheetName val="교수설계"/>
      <sheetName val="LF자재단가"/>
      <sheetName val="자재단가"/>
      <sheetName val="도급기성"/>
      <sheetName val="설비단가표"/>
      <sheetName val="LEGEND"/>
      <sheetName val="기술부대조건"/>
      <sheetName val="오수공수량집계표"/>
      <sheetName val="Sheet6"/>
      <sheetName val="48전력선로일위"/>
      <sheetName val="단가표"/>
      <sheetName val="식생블럭단위수량"/>
      <sheetName val="RE9604"/>
      <sheetName val="공사직종별노임"/>
      <sheetName val="당진1,2호기전선관설치및접지4차공사내역서-을지"/>
      <sheetName val="본체철근표"/>
      <sheetName val="입찰안"/>
      <sheetName val=" HIT-&gt;HMC 견적(3900)"/>
      <sheetName val="노임,재료비"/>
      <sheetName val="토공 total"/>
      <sheetName val="6호기"/>
      <sheetName val="역공종"/>
      <sheetName val="특외대"/>
      <sheetName val="제-노임"/>
      <sheetName val="제직재"/>
      <sheetName val="1.설계조건"/>
      <sheetName val="중기"/>
      <sheetName val="ELEC"/>
      <sheetName val="율촌법률사무소2내역"/>
      <sheetName val="내역서(중수)"/>
      <sheetName val="CAT_5"/>
      <sheetName val="단가비교표_공통1"/>
      <sheetName val="CIVIL4"/>
      <sheetName val="시멘트"/>
      <sheetName val="N賃率_職"/>
      <sheetName val="102역사"/>
      <sheetName val="금액집계"/>
      <sheetName val="96정변2"/>
      <sheetName val="전기일위목록"/>
      <sheetName val="노무,재료"/>
      <sheetName val="견적"/>
      <sheetName val="사다리"/>
      <sheetName val="내역(원안-대안)"/>
      <sheetName val="수주추정"/>
      <sheetName val="조명시설"/>
      <sheetName val="내역서 "/>
      <sheetName val="식재가격"/>
      <sheetName val="식재총괄"/>
      <sheetName val="AV시스템"/>
      <sheetName val="20관리비율"/>
      <sheetName val="민속촌메뉴"/>
      <sheetName val="2F 회의실견적_5_14 일대_"/>
      <sheetName val="97"/>
      <sheetName val="일위대가목록 "/>
      <sheetName val="001"/>
      <sheetName val="단위내역서"/>
      <sheetName val="공사개요"/>
      <sheetName val="노무비"/>
      <sheetName val="조경일람"/>
      <sheetName val="guard(mac)"/>
      <sheetName val="설_(3)"/>
      <sheetName val="설_(2)"/>
      <sheetName val="3BL공동구_수량"/>
      <sheetName val="대치판정"/>
      <sheetName val="원가서"/>
      <sheetName val="주beam"/>
      <sheetName val="도급견적가"/>
      <sheetName val="부대공Ⅱ"/>
      <sheetName val="간접1"/>
      <sheetName val="장비가동"/>
      <sheetName val="내역관리1"/>
      <sheetName val="총수량집계표"/>
      <sheetName val="제작비추산총괄표"/>
      <sheetName val="갑"/>
      <sheetName val="갑지1"/>
      <sheetName val="전선 및 전선관"/>
      <sheetName val="내역(설계)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(1)본선수량집계"/>
      <sheetName val="3.2제조설비"/>
      <sheetName val="노 무 비"/>
      <sheetName val="01상노임"/>
      <sheetName val="DATE"/>
      <sheetName val="200"/>
      <sheetName val="기계공사비집계(원안)"/>
      <sheetName val="내역표지"/>
      <sheetName val="청주(철골발주의뢰서)"/>
      <sheetName val="유기공정"/>
      <sheetName val="원본"/>
      <sheetName val="Sheet7(ㅅ)"/>
      <sheetName val="물량표"/>
      <sheetName val="첨부1"/>
      <sheetName val="토공집계표"/>
      <sheetName val="국내"/>
      <sheetName val="내역서 제출"/>
      <sheetName val="부하자료"/>
      <sheetName val="일위대가1"/>
      <sheetName val="현장관리비"/>
      <sheetName val="터널조도"/>
      <sheetName val="일위목록데이타"/>
      <sheetName val="(4-2)열관류값-2"/>
      <sheetName val="금융"/>
      <sheetName val="전기"/>
      <sheetName val="전기단가조사서"/>
      <sheetName val="화전내"/>
      <sheetName val="tggwan(mac)"/>
      <sheetName val="성곽내역서"/>
      <sheetName val="공사예산하조서(O.K)"/>
      <sheetName val="공내역"/>
      <sheetName val="danga"/>
      <sheetName val="도로정위치부표"/>
      <sheetName val="도로조사부표"/>
      <sheetName val="내역1"/>
      <sheetName val="소각장스케줄"/>
      <sheetName val="ABUT수량-A1"/>
      <sheetName val="한전일위"/>
      <sheetName val="연결관단위"/>
      <sheetName val="일위대가(계측기설치)"/>
      <sheetName val="Customer_Databas"/>
      <sheetName val="토공_total"/>
      <sheetName val="_HIT-&gt;HMC_견적(3900)"/>
      <sheetName val="토공(우물통,기타)_"/>
      <sheetName val="AIR_SHOWER(3인용)"/>
      <sheetName val="6PILE__(돌출)"/>
      <sheetName val="원가_(2)"/>
      <sheetName val="내역서1"/>
      <sheetName val="찍기"/>
      <sheetName val="COST"/>
      <sheetName val="효성CB 1P기초"/>
      <sheetName val="계수시트"/>
      <sheetName val="경영상태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f산출"/>
      <sheetName val="하이테콤직원"/>
      <sheetName val="산출0"/>
      <sheetName val="금융비용"/>
      <sheetName val="콘크리트"/>
      <sheetName val="총괄집계표"/>
      <sheetName val="일위_FILE"/>
      <sheetName val="Inst."/>
      <sheetName val="중기손료"/>
      <sheetName val="기초단가"/>
      <sheetName val="교각토공"/>
      <sheetName val="교각1"/>
      <sheetName val="단1"/>
      <sheetName val="용산1(해보)"/>
      <sheetName val="원형1호맨홀토공수량"/>
      <sheetName val="TEMP"/>
      <sheetName val="JA"/>
      <sheetName val="공주-교대(A1)"/>
      <sheetName val="파일의이용"/>
      <sheetName val="부하계산서"/>
      <sheetName val="우각부보강"/>
      <sheetName val="3F"/>
      <sheetName val="수리결과"/>
      <sheetName val="내역1공구"/>
      <sheetName val="단가 및 재료비"/>
      <sheetName val="중기사용료산출근거"/>
      <sheetName val="전기공사일위대가"/>
      <sheetName val="인테리어내역"/>
      <sheetName val="일(4)"/>
      <sheetName val="지주토목내역서"/>
      <sheetName val="원가계산서(남측)"/>
      <sheetName val="실행내역 "/>
      <sheetName val="계측기"/>
      <sheetName val="비교1"/>
      <sheetName val="설계서을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화재 탐지 설비"/>
      <sheetName val="GI-LIST"/>
      <sheetName val="기기리스트"/>
      <sheetName val="OPT7"/>
      <sheetName val="CT "/>
      <sheetName val="과천MAIN"/>
      <sheetName val="터널대가"/>
      <sheetName val="문학간접"/>
      <sheetName val="전기2005"/>
      <sheetName val="통신2005"/>
      <sheetName val="전기설계변경"/>
      <sheetName val="자재단가비교표"/>
      <sheetName val="재료비"/>
      <sheetName val="노임단가 (2)"/>
      <sheetName val="원가계산서구조조정"/>
      <sheetName val="장애코드"/>
      <sheetName val="자재테이블"/>
      <sheetName val="기존단가 (2)"/>
      <sheetName val="노단"/>
      <sheetName val="관리비비계상"/>
      <sheetName val="봉양~조차장간고하개명(신설)"/>
      <sheetName val="재료비집계"/>
      <sheetName val="도시가스현황"/>
      <sheetName val="설계내역서"/>
      <sheetName val="Pier 3"/>
      <sheetName val="입력정보"/>
      <sheetName val="설계조건"/>
      <sheetName val="현장관리비데이타"/>
      <sheetName val="원가계산 (2)"/>
      <sheetName val="배수공"/>
      <sheetName val="★도급내역"/>
      <sheetName val="예가표"/>
      <sheetName val="노무비 근거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계약서"/>
      <sheetName val="배수내역"/>
      <sheetName val="기흥하도용"/>
      <sheetName val="민감도"/>
      <sheetName val="유림콘도"/>
      <sheetName val="공사착공계"/>
      <sheetName val="sub"/>
      <sheetName val="반포2차"/>
      <sheetName val="하도급원가계산총괄표(식재)"/>
      <sheetName val="특별땅고르기"/>
      <sheetName val="2000년 공정표"/>
      <sheetName val="세골재  T2 변경 현황"/>
      <sheetName val="상가분양"/>
      <sheetName val="직접공사비"/>
      <sheetName val="JUCKEYK"/>
      <sheetName val="1공구산출내역서"/>
      <sheetName val="간접(90)"/>
      <sheetName val="현장경비"/>
      <sheetName val="보증수수료산출"/>
      <sheetName val="3본사"/>
      <sheetName val="기타 정보통신공사"/>
      <sheetName val="포승중환경개선공사(변경)"/>
      <sheetName val="연습"/>
      <sheetName val="내역전기"/>
      <sheetName val="부대"/>
      <sheetName val="일위CODE"/>
      <sheetName val="gyun"/>
      <sheetName val="수량집계"/>
      <sheetName val="잡비계산"/>
      <sheetName val="견적내역서"/>
      <sheetName val="전체"/>
      <sheetName val="시중노임(공사)"/>
      <sheetName val="일위대가 "/>
      <sheetName val="교사기준면적(초등)"/>
      <sheetName val="구천"/>
      <sheetName val="견적업체"/>
      <sheetName val="빌딩 안내"/>
      <sheetName val="자재대"/>
      <sheetName val="사급자재(1단계)"/>
      <sheetName val="간지"/>
      <sheetName val="견적단가"/>
      <sheetName val="부대집계"/>
      <sheetName val="현장관리비참조"/>
      <sheetName val="봉방동근생"/>
      <sheetName val="통합집계표"/>
      <sheetName val="단가일람"/>
      <sheetName val="갑지.을지"/>
      <sheetName val="일위대가(1)"/>
      <sheetName val="일위단가"/>
      <sheetName val="PSCbeam설계"/>
      <sheetName val="내역5"/>
      <sheetName val="계산표지"/>
      <sheetName val="노(97_1,97_9,98_1)1"/>
      <sheetName val="출력은_금물1"/>
      <sheetName val="_냉각수펌프1"/>
      <sheetName val="단가_1"/>
      <sheetName val="Sheet1_(2)1"/>
      <sheetName val="2F_회의실견적(5_14_일대)1"/>
      <sheetName val="1차_내역서"/>
      <sheetName val="현장관리비_산출내역"/>
      <sheetName val="토목내역서_(도급단가)"/>
      <sheetName val="WEIGHT_LIST"/>
      <sheetName val="산#2-1_(2)"/>
      <sheetName val="도급자재"/>
      <sheetName val="별표 "/>
      <sheetName val="입력변수"/>
      <sheetName val="#3_일위대가목록"/>
      <sheetName val="기초일위"/>
      <sheetName val="노무비단가"/>
      <sheetName val="지점장"/>
      <sheetName val="암거단위"/>
      <sheetName val="단가대비표 (3)"/>
      <sheetName val="원가총괄"/>
      <sheetName val="수량산출(생반)"/>
      <sheetName val="청곡지선입력"/>
      <sheetName val="조명율"/>
      <sheetName val="1000 DB구축 부표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총괄내역"/>
      <sheetName val="맨홀수량산출"/>
      <sheetName val="개요"/>
      <sheetName val="노임단가(08.01)"/>
      <sheetName val="유림골조"/>
      <sheetName val="세부내역서(전기)"/>
      <sheetName val="변경내역(전체)"/>
      <sheetName val="참조자료"/>
      <sheetName val="날개벽수량표"/>
      <sheetName val="신우"/>
      <sheetName val="전기내역"/>
      <sheetName val="자재표"/>
      <sheetName val="98지급계획"/>
      <sheetName val="직접노무"/>
      <sheetName val="직접재료"/>
      <sheetName val="접지수량"/>
      <sheetName val="교각계산"/>
      <sheetName val="철콘"/>
      <sheetName val="표  지"/>
      <sheetName val="간접비계산"/>
      <sheetName val="PIPING"/>
      <sheetName val="그림"/>
      <sheetName val="그림2"/>
      <sheetName val="분전반"/>
      <sheetName val="내역서적용수량"/>
      <sheetName val="가도공"/>
      <sheetName val="유림총괄"/>
      <sheetName val="작성"/>
      <sheetName val="청도공장"/>
      <sheetName val="발열량"/>
      <sheetName val="P-1"/>
      <sheetName val="sw1"/>
      <sheetName val="NOMUBI"/>
      <sheetName val="단가및재료비"/>
      <sheetName val="예산변경사항"/>
      <sheetName val="창원- 전기공사"/>
      <sheetName val="인건-측정"/>
      <sheetName val="인원계획-미화"/>
      <sheetName val="9509"/>
      <sheetName val="담장산출"/>
      <sheetName val="매입-계약"/>
      <sheetName val="5사남"/>
      <sheetName val="폐토수익화 "/>
      <sheetName val="RM목표&amp;실적"/>
      <sheetName val="빌딩코드"/>
      <sheetName val="A조"/>
      <sheetName val="코드"/>
      <sheetName val="단위수량산출"/>
      <sheetName val="잡비"/>
      <sheetName val="건축기성"/>
      <sheetName val="수입"/>
      <sheetName val="공통단가"/>
      <sheetName val="운반비"/>
      <sheetName val="기준FACTOR"/>
      <sheetName val="익산"/>
      <sheetName val="품셈총괄표"/>
      <sheetName val="입상내역"/>
      <sheetName val="품셈총괄"/>
      <sheetName val="표층포설및다짐"/>
      <sheetName val="인적사항"/>
      <sheetName val="단재적표"/>
      <sheetName val="설계"/>
      <sheetName val="투찰가"/>
      <sheetName val="공문"/>
      <sheetName val="수목표준대가"/>
      <sheetName val="Total"/>
      <sheetName val="예산총괄"/>
      <sheetName val="옥외계측"/>
      <sheetName val="CODE"/>
      <sheetName val="인공"/>
      <sheetName val="설_(3)1"/>
      <sheetName val="설_(2)1"/>
      <sheetName val="3BL공동구_수량1"/>
      <sheetName val="1_설계조건"/>
      <sheetName val="2000년_공정표"/>
      <sheetName val="노무비_근거"/>
      <sheetName val="전선_및_전선관"/>
      <sheetName val="효성CB_1P기초"/>
      <sheetName val="내역서_제출"/>
      <sheetName val="0Title"/>
      <sheetName val="추가예산"/>
      <sheetName val="물가시세"/>
      <sheetName val="오동"/>
      <sheetName val="대조"/>
      <sheetName val="나한"/>
      <sheetName val="부하"/>
      <sheetName val="지급자재"/>
      <sheetName val="수량총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도담구내 개소별 명세"/>
      <sheetName val="철근중량"/>
      <sheetName val="工관리비율"/>
      <sheetName val="工완성공사율"/>
      <sheetName val="정거장 설계조건"/>
      <sheetName val="주요기준"/>
      <sheetName val="제경비율"/>
      <sheetName val="기본가정"/>
      <sheetName val="b_balju"/>
      <sheetName val="인공산출"/>
      <sheetName val="노무단가산정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품셈TABLE"/>
      <sheetName val="99년하반기"/>
      <sheetName val="건설기계사용료목록"/>
      <sheetName val="집"/>
      <sheetName val="간선계산"/>
      <sheetName val="계화배수"/>
      <sheetName val="철근집계"/>
      <sheetName val="COPING"/>
      <sheetName val="공정코드"/>
      <sheetName val="예비용"/>
      <sheetName val="상행-교대(A1-A2)"/>
      <sheetName val="기초목록"/>
      <sheetName val="단가(자재)"/>
      <sheetName val="공사추진현황"/>
      <sheetName val="입력"/>
      <sheetName val="&lt;--"/>
      <sheetName val="가설공사"/>
      <sheetName val="일위(시설)"/>
      <sheetName val="BSD (2)"/>
      <sheetName val="화의-현금흐름"/>
      <sheetName val="전체제잡비"/>
      <sheetName val="바닥판"/>
      <sheetName val="입력DATA"/>
      <sheetName val="특별교실"/>
      <sheetName val="견적(100%)"/>
      <sheetName val="직원자료입력"/>
      <sheetName val="하중계산"/>
      <sheetName val="안정성검토"/>
      <sheetName val="Uint보온"/>
      <sheetName val="단가비교"/>
      <sheetName val="실행대비"/>
      <sheetName val="기초분물량표"/>
      <sheetName val="일위총괄표"/>
      <sheetName val="직공비"/>
      <sheetName val="퍼스트"/>
      <sheetName val="사전공사"/>
      <sheetName val="물집"/>
      <sheetName val="12.일위대가"/>
      <sheetName val="단가산출(T)"/>
      <sheetName val="99총공사내역서"/>
      <sheetName val="직접수량"/>
      <sheetName val="Customer__x0000__x0000_Ԁ_x0000_騞컲"/>
      <sheetName val="토목공사"/>
      <sheetName val="공사비집계"/>
      <sheetName val="리스(CIF)산출"/>
      <sheetName val="총체보활공정표"/>
      <sheetName val="현장지지물물량"/>
      <sheetName val="1"/>
      <sheetName val="CP-E2 (품셈표)"/>
      <sheetName val="소운반"/>
      <sheetName val="집수정단면도 (2)"/>
      <sheetName val="미드수량"/>
      <sheetName val="부하(성남)"/>
      <sheetName val="토적표(광혁측량)"/>
      <sheetName val="FAX"/>
      <sheetName val="예산서"/>
      <sheetName val="전계가"/>
      <sheetName val="작업일보"/>
      <sheetName val="산출금액내역"/>
      <sheetName val="내역서01"/>
      <sheetName val="수배전반"/>
      <sheetName val="용역비내역-진짜"/>
      <sheetName val="01"/>
      <sheetName val="관급단가"/>
      <sheetName val="기초입력 DATA"/>
      <sheetName val="공사비산출서"/>
      <sheetName val="한강운반비"/>
      <sheetName val="단가 (2)"/>
      <sheetName val="NO.1-NO12(설계예산서)"/>
      <sheetName val="관로공정"/>
      <sheetName val="총내역서"/>
      <sheetName val="2.고용보험료산출근거"/>
      <sheetName val="ÀÏÀ§(PANEL)"/>
      <sheetName val="산출"/>
      <sheetName val="조명일위"/>
      <sheetName val="국도접속 차도부수량"/>
      <sheetName val="직접시공계획서"/>
      <sheetName val="본사업"/>
      <sheetName val="원가계산서 "/>
      <sheetName val="비교표"/>
      <sheetName val="간접"/>
      <sheetName val="집수정토공"/>
      <sheetName val="설계명세서"/>
      <sheetName val="남양시작동자105노65기1.3화1.2"/>
      <sheetName val="전통건설"/>
      <sheetName val="설계내역2"/>
      <sheetName val="유수전환공사"/>
      <sheetName val="공종목록표"/>
      <sheetName val="프랜트면허"/>
      <sheetName val="기본자료"/>
      <sheetName val="기초작업"/>
      <sheetName val="노무비 "/>
      <sheetName val="평가데이터"/>
      <sheetName val="실행기초"/>
      <sheetName val="노임200103"/>
      <sheetName val="상수도토공집계표"/>
      <sheetName val="참고"/>
      <sheetName val="원가계산서(변경)"/>
      <sheetName val="양식_자재단가조사표"/>
      <sheetName val="2.노임및손료"/>
      <sheetName val="부안변전"/>
      <sheetName val="전기외주내역"/>
      <sheetName val="기초목"/>
      <sheetName val="설치자재"/>
      <sheetName val="기술조건"/>
      <sheetName val="포장복구집계"/>
      <sheetName val="공기압축기실"/>
      <sheetName val="총공사내역서"/>
      <sheetName val="실행(1)"/>
      <sheetName val="토목"/>
      <sheetName val="가락화장을지"/>
      <sheetName val="SHEET PILE단가"/>
      <sheetName val="사유서제출현황-2"/>
      <sheetName val="수량산출서"/>
      <sheetName val="준공정산"/>
      <sheetName val="인부노임"/>
      <sheetName val="조정율"/>
      <sheetName val="휴가비,급량비"/>
      <sheetName val="실행-집행"/>
      <sheetName val="ES조서출력하기"/>
      <sheetName val="일위(설)"/>
      <sheetName val="S1,3"/>
      <sheetName val="아파트"/>
      <sheetName val="공통비(전체)"/>
      <sheetName val="WING3"/>
      <sheetName val="기초자료입력"/>
      <sheetName val="심사계산"/>
      <sheetName val="심사물량"/>
      <sheetName val="hvac내역서(제어동)"/>
      <sheetName val="기중"/>
      <sheetName val="시설물일위"/>
      <sheetName val="도봉2지구"/>
      <sheetName val="대덕토공총"/>
      <sheetName val="열린교실"/>
      <sheetName val="DATA 입력란"/>
      <sheetName val="Tool"/>
      <sheetName val="구간산출"/>
      <sheetName val="골막이(야매)"/>
      <sheetName val="파형강관및곡선부보강및날개벽"/>
      <sheetName val="옥외 전력간선공사"/>
      <sheetName val="변경내역"/>
      <sheetName val="견적서1"/>
      <sheetName val="5흙막이"/>
      <sheetName val="기초입력"/>
      <sheetName val="부자재 적용비율"/>
      <sheetName val="집수A"/>
      <sheetName val="세부내역"/>
      <sheetName val="5.동별횡주관경"/>
      <sheetName val="조건표 (2)"/>
      <sheetName val="시운전연료비"/>
      <sheetName val="예산명세서"/>
      <sheetName val="합의경상"/>
      <sheetName val="B-data"/>
      <sheetName val="천방교접속"/>
      <sheetName val="대포2교접속"/>
      <sheetName val="진흥지역조서(구역밖)"/>
      <sheetName val="건축공사"/>
      <sheetName val="신규 수주분(사용자 정의)"/>
      <sheetName val="동해title"/>
      <sheetName val="설-원가"/>
      <sheetName val="단중"/>
      <sheetName val="자재일람"/>
      <sheetName val="제출내역 (3)"/>
      <sheetName val="기성내역서표지"/>
      <sheetName val="도로일위대가표"/>
      <sheetName val="지하시설물작성"/>
      <sheetName val="정산서 "/>
      <sheetName val="을-ATYPE"/>
      <sheetName val="직원관리자료"/>
      <sheetName val="B부대공"/>
      <sheetName val="Sheet4"/>
      <sheetName val="철근량"/>
      <sheetName val="본서하반기"/>
      <sheetName val="하반기(지구대)"/>
      <sheetName val="96수출"/>
      <sheetName val="산출목록표"/>
      <sheetName val="일집"/>
      <sheetName val="내역서_"/>
      <sheetName val="2F_회의실견적_5_14_일대_"/>
      <sheetName val="일위대가목록_"/>
      <sheetName val="3_2제조설비"/>
      <sheetName val="노_무_비"/>
      <sheetName val="남양시작동자105노65기1_3화1_2"/>
      <sheetName val="노(97_1,97_9,98_1)2"/>
      <sheetName val="출력은_금물2"/>
      <sheetName val="_냉각수펌프2"/>
      <sheetName val="단가_2"/>
      <sheetName val="설_(3)2"/>
      <sheetName val="설_(2)2"/>
      <sheetName val="3BL공동구_수량2"/>
      <sheetName val="6PILE__(돌출)1"/>
      <sheetName val="AIR_SHOWER(3인용)1"/>
      <sheetName val="Customer_Databas1"/>
      <sheetName val="토공(우물통,기타)_1"/>
      <sheetName val="원가_(2)1"/>
      <sheetName val="_HIT-&gt;HMC_견적(3900)1"/>
      <sheetName val="토공_total1"/>
      <sheetName val="1_설계조건1"/>
      <sheetName val="내역서_1"/>
      <sheetName val="2F_회의실견적_5_14_일대_1"/>
      <sheetName val="일위대가목록_1"/>
      <sheetName val="1차_내역서1"/>
      <sheetName val="전선_및_전선관1"/>
      <sheetName val="3_2제조설비1"/>
      <sheetName val="노_무_비1"/>
      <sheetName val="내역서_제출1"/>
      <sheetName val="현장관리비_산출내역1"/>
      <sheetName val="WEIGHT_LIST1"/>
      <sheetName val="산#2-1_(2)1"/>
      <sheetName val="토목내역서_(도급단가)1"/>
      <sheetName val="남양시작동자105노65기1_3화1_21"/>
      <sheetName val="I.설계조건"/>
      <sheetName val="내역 (2)"/>
      <sheetName val="b_balju-단가단가단가"/>
      <sheetName val="H-pile(298x299)"/>
      <sheetName val="H-pile(250x250)"/>
      <sheetName val="소업1교"/>
      <sheetName val="8.PILE  (돌출)"/>
      <sheetName val="XL4Poppy"/>
      <sheetName val="횡배수관"/>
      <sheetName val="QandAJunior"/>
      <sheetName val="9811"/>
      <sheetName val="덤프트럭계수"/>
      <sheetName val="급수"/>
      <sheetName val="1. 설계조건 2.단면가정 3. 하중계산"/>
      <sheetName val="내부예산(5101~3)"/>
      <sheetName val="단위수량"/>
      <sheetName val="분석"/>
      <sheetName val="콤보박스와 리스트박스의 연결"/>
      <sheetName val="우배수"/>
      <sheetName val="기타자료"/>
      <sheetName val="이토변실(A3-LINE)"/>
      <sheetName val="배관단가조사서"/>
      <sheetName val="교대(A1-A2)"/>
      <sheetName val="교대(A1)"/>
      <sheetName val="노임(1차)"/>
      <sheetName val="기계공사"/>
      <sheetName val="골조"/>
      <sheetName val="앉음벽 (2)"/>
      <sheetName val="2.대외공문"/>
      <sheetName val="주안3차A-A"/>
      <sheetName val="간접경상비"/>
      <sheetName val="Cost bd-&quot;A&quot;"/>
      <sheetName val="기안1"/>
      <sheetName val=" 토목 처리장도급내역서 "/>
      <sheetName val="BF12-R0"/>
      <sheetName val="Summary Sheets"/>
      <sheetName val="구분자"/>
      <sheetName val="소총괄표1"/>
      <sheetName val="6공구(당초)"/>
      <sheetName val="제출내역 (2)"/>
      <sheetName val="상반기손익차2총괄"/>
      <sheetName val="진주방향"/>
      <sheetName val="마산방향"/>
      <sheetName val="마산방향철근집계"/>
      <sheetName val="배관BM(일반)"/>
      <sheetName val="내역서(설비+소방)"/>
      <sheetName val="산출내역서집계표"/>
      <sheetName val="1.우편집중내역서"/>
      <sheetName val="중분대수량산출"/>
      <sheetName val="DATA_입력란"/>
      <sheetName val="1__설계조건_2_단면가정_3__하중계산"/>
      <sheetName val="공사예산하조서(O_K)"/>
      <sheetName val="원가계산_(2)"/>
      <sheetName val="Inst_"/>
      <sheetName val="단가표 (2)"/>
      <sheetName val="A LINE"/>
      <sheetName val="4.1단가표"/>
      <sheetName val="4.2노임단가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#REF"/>
      <sheetName val="공조기휀"/>
      <sheetName val="J直材4"/>
      <sheetName val="백암비스타내역"/>
      <sheetName val="Sheet3"/>
      <sheetName val="일위"/>
      <sheetName val="화재 탐지 설비"/>
      <sheetName val="노임"/>
      <sheetName val="총괄집계표"/>
      <sheetName val="집계"/>
      <sheetName val="OPT7"/>
      <sheetName val="GI-LIST"/>
      <sheetName val="기기리스트"/>
      <sheetName val="CT "/>
      <sheetName val="I一般比"/>
      <sheetName val="일위대가"/>
      <sheetName val="원가계산"/>
      <sheetName val="수정내역"/>
      <sheetName val="일위대가표"/>
      <sheetName val="실행내역"/>
      <sheetName val="XXXXXX"/>
      <sheetName val="VXXX"/>
      <sheetName val="진짜내역"/>
      <sheetName val="전시원"/>
      <sheetName val="전시내"/>
      <sheetName val="Sheet1"/>
      <sheetName val="Sheet2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기본일위"/>
      <sheetName val="현장"/>
      <sheetName val="건축내역"/>
      <sheetName val="예산M11A"/>
      <sheetName val="101동"/>
      <sheetName val="2000년1차"/>
      <sheetName val="2000전체분"/>
      <sheetName val="재료"/>
      <sheetName val="단가조사"/>
      <sheetName val="내역"/>
      <sheetName val="식재인부"/>
      <sheetName val="기본단가표"/>
      <sheetName val="N賃率-職"/>
      <sheetName val="영창26"/>
      <sheetName val="설계서"/>
      <sheetName val="단가산출"/>
      <sheetName val="MAIN_TABLE"/>
      <sheetName val="설직재-1"/>
      <sheetName val="교통대책내역"/>
      <sheetName val="KKK"/>
      <sheetName val="출자한도"/>
      <sheetName val="기초자료"/>
      <sheetName val="3BL공동구 수량"/>
      <sheetName val="공사비총괄표"/>
      <sheetName val="경산"/>
      <sheetName val="일대-1"/>
      <sheetName val="공사개요(서광주)"/>
      <sheetName val="산근"/>
      <sheetName val="본공사"/>
      <sheetName val="골재산출"/>
      <sheetName val="요율"/>
      <sheetName val="대공종"/>
      <sheetName val="적용토목"/>
      <sheetName val="갑지"/>
      <sheetName val="기초내역서"/>
      <sheetName val="수량산출"/>
      <sheetName val="대가목록표"/>
      <sheetName val="실행"/>
      <sheetName val="갑지(추정)"/>
      <sheetName val="AIR SHOWER(3인용)"/>
      <sheetName val="Customer Databas"/>
      <sheetName val="물가자료"/>
      <sheetName val="철탑공사"/>
      <sheetName val="스포회원매출"/>
      <sheetName val="교각별철근수량집계표"/>
      <sheetName val="금액내역서"/>
      <sheetName val="산출근거"/>
      <sheetName val="차수공개요"/>
      <sheetName val="CTEMCOST"/>
      <sheetName val="조명율표"/>
      <sheetName val="총괄표"/>
      <sheetName val="산출내역서"/>
      <sheetName val="자료"/>
      <sheetName val="5공철탑검토표"/>
      <sheetName val="4공철탑검토"/>
      <sheetName val="지질조사"/>
      <sheetName val="코드표"/>
      <sheetName val="재료비노무비"/>
      <sheetName val="당초"/>
      <sheetName val="NYS"/>
      <sheetName val="단중표"/>
      <sheetName val="예산"/>
      <sheetName val="본체"/>
      <sheetName val="asd"/>
      <sheetName val="6PILE  (돌출)"/>
      <sheetName val="지하"/>
      <sheetName val="도급기성"/>
      <sheetName val="설비단가표"/>
      <sheetName val="위생설비"/>
      <sheetName val="데이타"/>
      <sheetName val="DATA"/>
      <sheetName val="토공(우물통,기타) "/>
      <sheetName val="교수설계"/>
      <sheetName val="식재수량표"/>
      <sheetName val="총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LF자재단가"/>
      <sheetName val="자재단가"/>
      <sheetName val="Sheet5"/>
      <sheetName val="일위대가목차"/>
      <sheetName val="오수공수량집계표"/>
      <sheetName val="Sheet6"/>
      <sheetName val="연부97-1"/>
      <sheetName val="조건표"/>
      <sheetName val="자갈,시멘트,모래산출"/>
      <sheetName val="LEGEND"/>
      <sheetName val="원가 (2)"/>
      <sheetName val="48전력선로일위"/>
      <sheetName val="단가표"/>
      <sheetName val="식생블럭단위수량"/>
      <sheetName val="공사직종별노임"/>
      <sheetName val="시설물기초"/>
      <sheetName val=" 냉각수펌프"/>
      <sheetName val="AHU집계"/>
      <sheetName val="1.설계조건"/>
      <sheetName val=" HIT-&gt;HMC 견적(3900)"/>
      <sheetName val="과천MAIN"/>
      <sheetName val="DATA-UPS"/>
      <sheetName val="20관리비율"/>
      <sheetName val="유기공정"/>
      <sheetName val="현금흐름표"/>
      <sheetName val="Factor"/>
      <sheetName val="토적표"/>
      <sheetName val="날개벽수량표"/>
      <sheetName val="제직재"/>
      <sheetName val="유림골조"/>
      <sheetName val="측량노임.재료.기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을지"/>
      <sheetName val="N賃率-職"/>
      <sheetName val="인건비"/>
      <sheetName val="I一般比"/>
      <sheetName val="공사설계서"/>
      <sheetName val="20관리비율"/>
      <sheetName val="J直材4"/>
      <sheetName val="설비단가표"/>
      <sheetName val="날개벽수량표"/>
      <sheetName val="납부서"/>
      <sheetName val="수량산출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실행내역"/>
      <sheetName val="직노"/>
      <sheetName val="내역서2안"/>
      <sheetName val="패널"/>
      <sheetName val="기본일위"/>
      <sheetName val="집계"/>
      <sheetName val="Sheet1"/>
      <sheetName val="Sheet2"/>
      <sheetName val="Sheet3"/>
      <sheetName val="J直材4"/>
      <sheetName val="I一般比"/>
      <sheetName val="N賃率-職"/>
      <sheetName val="설직재-1"/>
      <sheetName val="제직재"/>
      <sheetName val="목록"/>
      <sheetName val="경산"/>
      <sheetName val="일위"/>
      <sheetName val="공사노임"/>
      <sheetName val="Book4"/>
      <sheetName val="홍보비디오"/>
      <sheetName val="단가"/>
      <sheetName val="원가"/>
      <sheetName val="工완성공사율"/>
      <sheetName val="工관리비율"/>
      <sheetName val="직재"/>
      <sheetName val="2F 회의실견적(5_14 일대)"/>
      <sheetName val="일위대가목록"/>
      <sheetName val=" HIT-&gt;HMC 견적(3900)"/>
      <sheetName val="일위대가"/>
      <sheetName val="일위대가(4층원격)"/>
      <sheetName val="노임"/>
      <sheetName val="내역서"/>
      <sheetName val="지형제작"/>
      <sheetName val="단가 (2)"/>
      <sheetName val="갑지"/>
      <sheetName val="집계표"/>
      <sheetName val="1안"/>
      <sheetName val="조명시설"/>
      <sheetName val="2공구산출내역"/>
      <sheetName val="수량산출"/>
      <sheetName val="견적을지"/>
      <sheetName val="재정비직인"/>
      <sheetName val="재정비내역"/>
      <sheetName val="지적고시내역"/>
      <sheetName val="내역"/>
      <sheetName val="6호기"/>
      <sheetName val="조직"/>
      <sheetName val="데이타"/>
      <sheetName val="식재인부"/>
      <sheetName val="경율산정.XLS"/>
      <sheetName val="을"/>
      <sheetName val="총괄내역서"/>
      <sheetName val="수량산출(모형)"/>
      <sheetName val="수량산출(공수)"/>
      <sheetName val="모형단가"/>
      <sheetName val="금액내역서"/>
      <sheetName val="내역을"/>
      <sheetName val="명세서"/>
      <sheetName val="전기일위대가"/>
      <sheetName val="Sheet1 (2)"/>
      <sheetName val="부하계산서"/>
      <sheetName val="부하(성남)"/>
      <sheetName val="교수설계"/>
      <sheetName val="table"/>
      <sheetName val="Sheet6"/>
      <sheetName val="공정집계_국별"/>
      <sheetName val="Option"/>
      <sheetName val="인제내역"/>
      <sheetName val="252K444"/>
      <sheetName val="최종총괄"/>
      <sheetName val="세부산출내역서"/>
      <sheetName val="공사원가계산서"/>
      <sheetName val="LEGEND"/>
      <sheetName val="표지 (2)"/>
      <sheetName val="내역서1-2"/>
      <sheetName val="교통대책내역"/>
      <sheetName val="제-노임"/>
      <sheetName val="산정표"/>
      <sheetName val="재집"/>
      <sheetName val="품"/>
      <sheetName val="수로교총재료집계"/>
      <sheetName val="약품공급2"/>
      <sheetName val="일위대가표지"/>
      <sheetName val="설계서"/>
      <sheetName val="주요공정"/>
      <sheetName val="입력변수"/>
      <sheetName val="20관리비율"/>
      <sheetName val="Transaction"/>
      <sheetName val="입찰안"/>
      <sheetName val="요율"/>
      <sheetName val="안정검토"/>
      <sheetName val="공조기휀"/>
      <sheetName val="제수"/>
      <sheetName val="공기"/>
      <sheetName val="GAS"/>
      <sheetName val="적용환율"/>
      <sheetName val="APT"/>
      <sheetName val="자재조사표"/>
      <sheetName val="별표"/>
      <sheetName val="표지"/>
      <sheetName val="진주방향"/>
      <sheetName val="마산방향"/>
      <sheetName val="전차선로 물량표"/>
      <sheetName val="금액집계"/>
      <sheetName val="개산공사비"/>
      <sheetName val="예산내역서(총괄)"/>
      <sheetName val="예산내역서"/>
      <sheetName val="공제대산출"/>
      <sheetName val="운반공사,공구손료"/>
      <sheetName val="적용단가"/>
      <sheetName val="건축"/>
      <sheetName val="배수관공"/>
      <sheetName val="2F_회의실견적(5_14_일대)"/>
      <sheetName val="_HIT-&gt;HMC_견적(3900)"/>
      <sheetName val="단가_(2)"/>
      <sheetName val="경율산정_XLS"/>
      <sheetName val="날개수량1.5"/>
      <sheetName val="토사(PE)"/>
      <sheetName val="북제주원가"/>
      <sheetName val="양천현"/>
      <sheetName val="카니발(자105노60)"/>
      <sheetName val="공사내역"/>
      <sheetName val="코드"/>
      <sheetName val="ABUT수량-A1"/>
      <sheetName val="DATE"/>
      <sheetName val="원본(갑지)"/>
      <sheetName val="세부내역"/>
      <sheetName val="인사자료총집계"/>
      <sheetName val="제경비율"/>
      <sheetName val="단가조사"/>
      <sheetName val="Customer Databas"/>
      <sheetName val="차액보증"/>
      <sheetName val="재공품기초자료"/>
      <sheetName val="bCord공정"/>
      <sheetName val="e대가"/>
      <sheetName val="g단가"/>
      <sheetName val="h집계"/>
      <sheetName val="건축내역"/>
      <sheetName val="설비단가표"/>
      <sheetName val="건축일위"/>
      <sheetName val="그라우팅일위"/>
      <sheetName val="갑지(추정)"/>
      <sheetName val="개요"/>
      <sheetName val="공사비예산서(토목분)"/>
      <sheetName val="IMPEADENCE MAP 취수장"/>
      <sheetName val="금융비용"/>
      <sheetName val="PROJECT BRIEF(EX.NEW)"/>
      <sheetName val="일위대가표"/>
      <sheetName val="GAEYO"/>
      <sheetName val="소비자가"/>
      <sheetName val="설계내역서"/>
      <sheetName val="Baby일위대가"/>
      <sheetName val="원가 (2)"/>
      <sheetName val="Sheet5"/>
      <sheetName val="Sheet4"/>
      <sheetName val="이천향토(모형제작)"/>
      <sheetName val="총괄"/>
      <sheetName val="총괄집계표"/>
      <sheetName val="발신정보"/>
      <sheetName val="순공사비"/>
      <sheetName val="적현로"/>
      <sheetName val="CT "/>
      <sheetName val="노무비"/>
      <sheetName val="을지"/>
      <sheetName val="3BL공동구 수량"/>
      <sheetName val="납부서"/>
      <sheetName val="단위단가"/>
      <sheetName val="연부97-1"/>
      <sheetName val="갑지1"/>
      <sheetName val="일위목차"/>
      <sheetName val="내역1"/>
      <sheetName val="판매시설"/>
      <sheetName val="재료"/>
      <sheetName val="설치자재"/>
      <sheetName val="공조기(삭제)"/>
      <sheetName val="노임단가"/>
      <sheetName val="단"/>
      <sheetName val="경비"/>
      <sheetName val="부하LOAD"/>
      <sheetName val="국내조달(통합-1)"/>
      <sheetName val="조도계산서 (도서)"/>
      <sheetName val="8.PILE  (돌출)"/>
      <sheetName val="BID"/>
      <sheetName val="부대tu"/>
      <sheetName val="물량"/>
      <sheetName val="단위수량"/>
      <sheetName val="일반부표"/>
      <sheetName val="설계명세"/>
      <sheetName val="일위목록"/>
      <sheetName val="관급_File"/>
      <sheetName val="인건비"/>
      <sheetName val=" 냉각수펌프"/>
      <sheetName val="대비"/>
      <sheetName val="조명율"/>
      <sheetName val="입력"/>
      <sheetName val="구의33고"/>
      <sheetName val="신우"/>
      <sheetName val="품셈TABLE"/>
      <sheetName val="청천내"/>
      <sheetName val="공구"/>
      <sheetName val="매립"/>
      <sheetName val="직접경비"/>
      <sheetName val="직접인건비"/>
      <sheetName val="청산공사"/>
      <sheetName val="샘플표지"/>
      <sheetName val="한강운반비"/>
      <sheetName val="경영"/>
      <sheetName val="98년"/>
      <sheetName val="실적"/>
      <sheetName val="정SW(원)"/>
      <sheetName val="내역서1999.8최종"/>
      <sheetName val="1차설계변경내역"/>
      <sheetName val="중기손료"/>
      <sheetName val="간선계산"/>
      <sheetName val="DATA"/>
      <sheetName val="ITEM"/>
      <sheetName val="동력부하(도산)"/>
      <sheetName val="Macro(차단기)"/>
      <sheetName val="터널조도"/>
      <sheetName val="설계산출기초"/>
      <sheetName val="도급예산내역서봉투"/>
      <sheetName val="기계경비(시간당)"/>
      <sheetName val="설계산출표지"/>
      <sheetName val="도급예산내역서총괄표"/>
      <sheetName val="램머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1층"/>
      <sheetName val="유기공정"/>
      <sheetName val="공통가설(기준안)"/>
      <sheetName val="정보"/>
      <sheetName val="원가계산서"/>
      <sheetName val="전선 및 전선관"/>
      <sheetName val="22전선(P)"/>
      <sheetName val="22전선(L)"/>
      <sheetName val="22전선(R)"/>
      <sheetName val="#3_일위대가목록"/>
      <sheetName val="TOT"/>
      <sheetName val="미드수량"/>
      <sheetName val="노임이"/>
      <sheetName val="토목공사"/>
      <sheetName val="마산월령동골조물량변경"/>
      <sheetName val="소방"/>
      <sheetName val="토적계산"/>
      <sheetName val="sh1"/>
      <sheetName val="구역화물"/>
      <sheetName val="단위목록"/>
      <sheetName val="시험비"/>
      <sheetName val="기계경비목록"/>
      <sheetName val="설계명세서"/>
      <sheetName val="000000"/>
      <sheetName val="연결임시"/>
      <sheetName val="가로등내역서"/>
      <sheetName val="단위중량"/>
      <sheetName val="C-직노1"/>
      <sheetName val="비탈면보호공수량산출"/>
      <sheetName val="FitOutConfCentre"/>
      <sheetName val="FAB별"/>
      <sheetName val="감가상각"/>
      <sheetName val="내역서(교량)전체"/>
      <sheetName val="공사현황"/>
      <sheetName val="에어샵공사"/>
      <sheetName val="Macro(ST)"/>
      <sheetName val="_REF"/>
      <sheetName val="설직재_1"/>
      <sheetName val="I.설계조건"/>
      <sheetName val="조건입력"/>
      <sheetName val="조건입력(2)"/>
      <sheetName val="장비선정"/>
      <sheetName val="내역서-CCTV"/>
      <sheetName val="copy"/>
      <sheetName val="서식"/>
      <sheetName val="실행"/>
      <sheetName val="부대비율"/>
      <sheetName val="danga"/>
      <sheetName val="ilch"/>
      <sheetName val="본공사"/>
      <sheetName val="토목"/>
      <sheetName val="KCS-CA"/>
      <sheetName val="부속동"/>
      <sheetName val="간접"/>
      <sheetName val="하중계산"/>
      <sheetName val="정부노임단가"/>
      <sheetName val="도급양식"/>
      <sheetName val="토공(우물통,기타) "/>
      <sheetName val="BOQ건축"/>
      <sheetName val="중기사용료"/>
      <sheetName val="심사계산"/>
      <sheetName val="심사물량"/>
      <sheetName val="일위대가(계측기설치)"/>
      <sheetName val="6PILE  (돌출)"/>
      <sheetName val="수지예산"/>
      <sheetName val="5.연간운전비계산서"/>
      <sheetName val="INPUT"/>
      <sheetName val="G.R300경비"/>
      <sheetName val="COPING-1"/>
      <sheetName val="역T형교대-2수량"/>
      <sheetName val="결과조달"/>
      <sheetName val="최적단면"/>
      <sheetName val="PARAMETER"/>
      <sheetName val="고시단가"/>
      <sheetName val="Sheet13"/>
      <sheetName val="GEN"/>
      <sheetName val="발전기"/>
      <sheetName val="Sheet14"/>
      <sheetName val="간선"/>
      <sheetName val="CA지입"/>
      <sheetName val="소요자재명세서"/>
      <sheetName val="노무비명세서"/>
      <sheetName val="각형맨홀"/>
      <sheetName val="장비집계"/>
      <sheetName val="현장관리비"/>
      <sheetName val="제경집계"/>
      <sheetName val="guard(mac)"/>
      <sheetName val="2000년1차"/>
      <sheetName val="부서현황"/>
      <sheetName val="비가동-20"/>
      <sheetName val="예가표"/>
      <sheetName val="유림골조"/>
      <sheetName val="기초대가"/>
      <sheetName val="Macro1"/>
      <sheetName val="0000"/>
      <sheetName val="참고"/>
      <sheetName val="내역서(변경)"/>
      <sheetName val="산출내역서"/>
      <sheetName val="1차 내역서"/>
      <sheetName val="준검 내역서"/>
      <sheetName val="교대(A1)"/>
      <sheetName val="파일의이용"/>
      <sheetName val="대조표(0108)"/>
      <sheetName val="식재"/>
      <sheetName val="시설물"/>
      <sheetName val="식재출력용"/>
      <sheetName val="유지관리"/>
      <sheetName val="회사정보"/>
      <sheetName val="97년추정손익계산서"/>
      <sheetName val="AS복구"/>
      <sheetName val="중기터파기"/>
      <sheetName val="변수값"/>
      <sheetName val="중기상차"/>
      <sheetName val=" 내역"/>
      <sheetName val="3.공통공사대비"/>
      <sheetName val="입찰"/>
      <sheetName val="현경"/>
      <sheetName val="토목주소"/>
      <sheetName val="프랜트면허"/>
      <sheetName val="COVER-P"/>
      <sheetName val="빗물받이(910-510-410)"/>
      <sheetName val="Sheet1_(2)"/>
      <sheetName val="인부신상자료"/>
      <sheetName val="기둥(원형)"/>
      <sheetName val="교각1"/>
      <sheetName val="단면 (2)"/>
      <sheetName val="COPING"/>
      <sheetName val="설비원가"/>
      <sheetName val="실행철강하도"/>
      <sheetName val="날개벽수량표"/>
      <sheetName val="을-ATYPE"/>
      <sheetName val="2회내역"/>
      <sheetName val="말뚝지지력산정"/>
      <sheetName val="본서하반기"/>
      <sheetName val="하반기(지구대)"/>
      <sheetName val="토공사(흙막이)"/>
      <sheetName val="94"/>
      <sheetName val="기계공사"/>
      <sheetName val="이토변실"/>
      <sheetName val="가압장(토목)"/>
      <sheetName val="미장공사"/>
      <sheetName val="가설공사"/>
      <sheetName val="목공사"/>
      <sheetName val="48일위"/>
      <sheetName val="날개벽"/>
      <sheetName val="작업시작"/>
      <sheetName val="공비대비"/>
      <sheetName val="우수"/>
      <sheetName val="전력"/>
      <sheetName val="자료"/>
      <sheetName val="DB구축"/>
      <sheetName val="48수량"/>
      <sheetName val="22수량"/>
      <sheetName val="49일위"/>
      <sheetName val="22일위"/>
      <sheetName val="49수량"/>
      <sheetName val="조건표"/>
      <sheetName val="수량집계1"/>
      <sheetName val="수량집계2"/>
      <sheetName val="70%"/>
      <sheetName val="TOWER 10TON"/>
      <sheetName val="수정시산표"/>
      <sheetName val="수리결과"/>
      <sheetName val="원본 (4)"/>
      <sheetName val="소방사항"/>
      <sheetName val="전계가"/>
      <sheetName val="공통가설"/>
      <sheetName val="공사개요"/>
      <sheetName val="노무비단가"/>
      <sheetName val="가시설흙막이"/>
      <sheetName val="콘_재료분리(1)"/>
      <sheetName val="2F_회의실견적(5_14_일대)1"/>
      <sheetName val="_HIT-&gt;HMC_견적(3900)1"/>
      <sheetName val="단가_(2)1"/>
      <sheetName val="경율산정_XLS1"/>
      <sheetName val="표지_(2)"/>
      <sheetName val="전차선로_물량표"/>
      <sheetName val="날개수량1_5"/>
      <sheetName val="Customer_Databas"/>
      <sheetName val="IMPEADENCE_MAP_취수장"/>
      <sheetName val="PROJECT_BRIEF(EX_NEW)"/>
      <sheetName val="2F_회의실견적(5_14_일대)2"/>
      <sheetName val="_HIT-&gt;HMC_견적(3900)2"/>
      <sheetName val="단가_(2)2"/>
      <sheetName val="경율산정_XLS2"/>
      <sheetName val="Sheet1_(2)1"/>
      <sheetName val="표지_(2)1"/>
      <sheetName val="전차선로_물량표1"/>
      <sheetName val="날개수량1_51"/>
      <sheetName val="Customer_Databas1"/>
      <sheetName val="IMPEADENCE_MAP_취수장1"/>
      <sheetName val="PROJECT_BRIEF(EX_NEW)1"/>
      <sheetName val="경상직원"/>
      <sheetName val="공문"/>
      <sheetName val="맨홀수량산출"/>
      <sheetName val="목표세부명세"/>
      <sheetName val="방호벽"/>
      <sheetName val="산출내역서집계표"/>
      <sheetName val="basic_info"/>
      <sheetName val="프로젝트명"/>
      <sheetName val="48평단가"/>
      <sheetName val="57단가"/>
      <sheetName val="54평단가"/>
      <sheetName val="66평단가"/>
      <sheetName val="61단가"/>
      <sheetName val="89평단가"/>
      <sheetName val="84평단가"/>
      <sheetName val="00000"/>
      <sheetName val="부대"/>
      <sheetName val="일위CODE"/>
      <sheetName val="일위산출"/>
      <sheetName val="종배수관"/>
      <sheetName val="산출"/>
      <sheetName val="사업분석"/>
      <sheetName val="b_balju_cho"/>
      <sheetName val="PI"/>
      <sheetName val="수량산출내역1115"/>
      <sheetName val="등록자료"/>
      <sheetName val="기초공"/>
      <sheetName val="설계조건"/>
      <sheetName val="외자내역"/>
      <sheetName val="외자배분"/>
      <sheetName val="강재창호(작업중)"/>
      <sheetName val="강재창호(변경후작업중)"/>
      <sheetName val="POL6차-PIPING"/>
      <sheetName val="포장직선구간"/>
      <sheetName val="1.우편집중내역서"/>
      <sheetName val="기본1"/>
      <sheetName val="수정일위대가"/>
      <sheetName val="이름정의"/>
      <sheetName val="당초계약"/>
      <sheetName val="변경내역"/>
      <sheetName val="기성내역서"/>
      <sheetName val="평야부단가"/>
      <sheetName val="수량산출서-2"/>
      <sheetName val="공내역"/>
      <sheetName val="백암비스타내역"/>
      <sheetName val="유림총괄"/>
      <sheetName val="업체명"/>
      <sheetName val="관리"/>
      <sheetName val="1000 DB구축 부표"/>
      <sheetName val="기본DATA"/>
      <sheetName val="금융"/>
      <sheetName val="하수급견적대비"/>
      <sheetName val="Tool"/>
      <sheetName val="사유서제출현황-2"/>
      <sheetName val="리츠"/>
      <sheetName val="공종목록표"/>
      <sheetName val="목차"/>
      <sheetName val="도근좌표"/>
      <sheetName val="계림(함평)"/>
      <sheetName val="계림(장성)"/>
      <sheetName val="항목별"/>
      <sheetName val="EACT10"/>
      <sheetName val="견적서_1개매장"/>
      <sheetName val="MOTOR"/>
      <sheetName val="실행예산"/>
      <sheetName val="Sheet22"/>
      <sheetName val="N賃率_職"/>
      <sheetName val="일위대가_4층원격_"/>
      <sheetName val="Book4.xls"/>
      <sheetName val="장비부하"/>
      <sheetName val="수리보고서비"/>
      <sheetName val="미익SUB"/>
      <sheetName val="매매"/>
      <sheetName val="공수집계"/>
      <sheetName val="내역 (2)"/>
      <sheetName val="견적"/>
      <sheetName val="상반기손익차2총괄"/>
      <sheetName val="FURNITURE-01"/>
      <sheetName val="일위대가총괄표 2(설치)"/>
      <sheetName val="단가조사-2"/>
      <sheetName val="총(신설)"/>
      <sheetName val="교각계산"/>
      <sheetName val="일반수량총괄"/>
      <sheetName val="실행내역서 "/>
      <sheetName val="기본사항"/>
      <sheetName val="투찰"/>
      <sheetName val="01AC"/>
      <sheetName val="조견표"/>
      <sheetName val="설계"/>
      <sheetName val="물량산출근거"/>
      <sheetName val="2002하반기노임기준"/>
      <sheetName val="BSD (2)"/>
      <sheetName val="파일구성"/>
      <sheetName val="기초일위"/>
      <sheetName val="단중표"/>
      <sheetName val="단가조사표 (2)"/>
      <sheetName val="견적서"/>
      <sheetName val="투찰금액"/>
      <sheetName val="코드정보"/>
      <sheetName val="부관맨홀조서"/>
      <sheetName val="품셈표"/>
      <sheetName val="사급자재"/>
      <sheetName val="수목데이타 "/>
      <sheetName val="일위대가(가설)"/>
      <sheetName val="자재단가비교표"/>
      <sheetName val="적용토목"/>
      <sheetName val="직공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DATE"/>
      <sheetName val="일위대가(가설)"/>
      <sheetName val="집계표"/>
      <sheetName val="원남울진낙찰내역(99.4.13 부산청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단계"/>
      <sheetName val="Sheet1"/>
      <sheetName val="비교견적 (2)"/>
      <sheetName val="비교견적"/>
      <sheetName val="2단계"/>
      <sheetName val="견적리스트"/>
      <sheetName val="견적가"/>
      <sheetName val="기본"/>
      <sheetName val="단가"/>
      <sheetName val="기기"/>
      <sheetName val="일위대가목차"/>
      <sheetName val="CABLE"/>
      <sheetName val="터파기및재료"/>
      <sheetName val="실행철강하도"/>
      <sheetName val="여과지동"/>
      <sheetName val="화재 탐지 설비"/>
      <sheetName val="관급현황"/>
      <sheetName val="토공개요"/>
      <sheetName val="기초자료"/>
      <sheetName val="일위대가(1)"/>
      <sheetName val="전기일위대가"/>
      <sheetName val="공사비집계"/>
      <sheetName val="원하대비"/>
      <sheetName val="원도급"/>
      <sheetName val="하도급"/>
      <sheetName val="대비2"/>
      <sheetName val="자재단가"/>
      <sheetName val="기초"/>
      <sheetName val="요율표"/>
      <sheetName val="I一般比"/>
      <sheetName val="N賃率-職"/>
      <sheetName val="전기단가조사서"/>
      <sheetName val="단위세대"/>
      <sheetName val="터널조도"/>
      <sheetName val="토목(대안)"/>
      <sheetName val="신천3호용수로"/>
      <sheetName val="안양동교 1안"/>
      <sheetName val="시운전연료비"/>
      <sheetName val="설비"/>
      <sheetName val="소비자가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비율"/>
      <sheetName val="간지"/>
      <sheetName val="결과"/>
      <sheetName val="총괄"/>
      <sheetName val="재료계"/>
      <sheetName val="직재비"/>
      <sheetName val="소요량"/>
      <sheetName val="소요량 (2)"/>
      <sheetName val="소요량 (3)"/>
      <sheetName val="곡면산"/>
      <sheetName val="제품도면"/>
      <sheetName val="간재"/>
      <sheetName val="소모품배부액"/>
      <sheetName val="작업설"/>
      <sheetName val="수율"/>
      <sheetName val="노무집"/>
      <sheetName val="직간노"/>
      <sheetName val="공수-경계석"/>
      <sheetName val="공수-판재"/>
      <sheetName val="공정별시간 (1)"/>
      <sheetName val="공정별시간(2)"/>
      <sheetName val="작업인원"/>
      <sheetName val="생산량"/>
      <sheetName val="99생산량"/>
      <sheetName val="99생산량 (2)"/>
      <sheetName val="곡면산 (2)"/>
      <sheetName val="노임단가"/>
      <sheetName val="간노율"/>
      <sheetName val="경비집"/>
      <sheetName val="경비"/>
      <sheetName val="천-경배부"/>
      <sheetName val="천-경조정"/>
      <sheetName val="운반비"/>
      <sheetName val="일반관리비율"/>
      <sheetName val="99자료요청"/>
      <sheetName val="2000자료요청"/>
      <sheetName val="천연임금"/>
      <sheetName val="천-소모"/>
      <sheetName val="수량산출"/>
      <sheetName val="호표"/>
      <sheetName val="실행철강하도"/>
      <sheetName val="산출내역서집계표"/>
      <sheetName val="중기사용료"/>
      <sheetName val="자재단가"/>
      <sheetName val="천-곽조정"/>
      <sheetName val="N賃率-職"/>
      <sheetName val="제-노임"/>
      <sheetName val="J直材4"/>
      <sheetName val="환경평가"/>
      <sheetName val="인구"/>
      <sheetName val="선급금신청서"/>
      <sheetName val="Xunit"/>
      <sheetName val="07석재조합-석제품"/>
      <sheetName val="제직재"/>
      <sheetName val="#REF"/>
      <sheetName val="한강운반비"/>
      <sheetName val="대비2"/>
      <sheetName val="예산조서"/>
      <sheetName val="CODE"/>
      <sheetName val="날개벽(시점좌측)"/>
      <sheetName val="신우"/>
      <sheetName val="개요"/>
      <sheetName val="열차무선 수량집계"/>
      <sheetName val="3. 규모산정(간이)"/>
      <sheetName val="공사비"/>
      <sheetName val="제품별"/>
      <sheetName val="제36-40호표"/>
      <sheetName val="단가"/>
      <sheetName val="직재"/>
      <sheetName val="일위"/>
      <sheetName val="건축내역"/>
      <sheetName val="20관리비율"/>
      <sheetName val="입찰견적보고서"/>
      <sheetName val="여과지동"/>
      <sheetName val="기초자료"/>
      <sheetName val="내역서"/>
      <sheetName val="일위대가(1)"/>
      <sheetName val="설직재-1"/>
      <sheetName val="입력"/>
      <sheetName val="터파기및재료"/>
      <sheetName val="증감대비"/>
      <sheetName val="입찰안"/>
      <sheetName val="위치조서"/>
      <sheetName val="내역서(세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확약서"/>
      <sheetName val="실행하도사항"/>
      <sheetName val="실행별지"/>
      <sheetName val="실행하도잡비"/>
      <sheetName val="실행토공하도"/>
      <sheetName val="실행철콘하도"/>
      <sheetName val="실행철강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자재단가"/>
      <sheetName val="관급"/>
      <sheetName val="집계표"/>
      <sheetName val="내역"/>
      <sheetName val="총괄내역서"/>
      <sheetName val="일위대가"/>
      <sheetName val="단가"/>
      <sheetName val="DATE"/>
      <sheetName val="원가서"/>
      <sheetName val="DANGA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(5_15) 가구별도"/>
      <sheetName val=" HIT-&gt;HMC 견적(3900)"/>
      <sheetName val="견적갑지"/>
      <sheetName val="견적내용"/>
      <sheetName val="공사비 검토내역서"/>
      <sheetName val="Sheet1"/>
      <sheetName val="2F 회의실견적(5_14 일대)"/>
      <sheetName val="I一般比"/>
      <sheetName val="단가산출"/>
      <sheetName val="일위대가"/>
      <sheetName val="#REF"/>
      <sheetName val="SHL"/>
      <sheetName val="아산의전"/>
      <sheetName val="_HIT__HMC 견적_3900_"/>
      <sheetName val="1"/>
      <sheetName val="간접비계산"/>
      <sheetName val="TABLE"/>
      <sheetName val="J直材4"/>
      <sheetName val="민감도"/>
      <sheetName val="노임"/>
      <sheetName val="일위대가(가설)"/>
      <sheetName val="N賃率-職"/>
      <sheetName val="직노"/>
      <sheetName val="1,2공구원가계산서"/>
      <sheetName val="2공구산출내역"/>
      <sheetName val="1공구산출내역서"/>
      <sheetName val="내역서"/>
      <sheetName val="20관리비율"/>
      <sheetName val="현장관리비"/>
      <sheetName val="설직재-1"/>
      <sheetName val="백암비스타내역"/>
      <sheetName val="CM 1"/>
      <sheetName val="인부신상자료"/>
      <sheetName val="시화점실행"/>
      <sheetName val="22인공"/>
      <sheetName val="전신환매도율"/>
      <sheetName val="적용토목"/>
      <sheetName val="평자재단가"/>
      <sheetName val="기계경비"/>
      <sheetName val="기본일위"/>
      <sheetName val="일위단가"/>
      <sheetName val="공정집계_국별"/>
      <sheetName val="문학간접"/>
      <sheetName val="지우지마세요"/>
      <sheetName val="수량산출"/>
      <sheetName val="과천MAIN"/>
      <sheetName val="직재"/>
      <sheetName val="Sheet22"/>
      <sheetName val="공사비집계"/>
      <sheetName val="2순기"/>
      <sheetName val="9GNG운반"/>
      <sheetName val="INSTR"/>
      <sheetName val="집계표"/>
      <sheetName val="FACTOR"/>
      <sheetName val="전체"/>
      <sheetName val="A 견적"/>
      <sheetName val="을지"/>
      <sheetName val="을지  (2)"/>
      <sheetName val="출고대장"/>
      <sheetName val="신우"/>
      <sheetName val="하조서"/>
      <sheetName val="말뚝지지력산정"/>
      <sheetName val="2"/>
      <sheetName val="입력정보"/>
      <sheetName val="Total"/>
      <sheetName val="현지검측내역"/>
      <sheetName val="산출내역서"/>
      <sheetName val="의장"/>
      <sheetName val="원가계산서"/>
      <sheetName val="산출근거"/>
      <sheetName val="노무비 근거"/>
      <sheetName val="인건비"/>
      <sheetName val="일위대가목록(기계)"/>
      <sheetName val="투자효율분석"/>
      <sheetName val="표지_(5_15)_가구별도"/>
      <sheetName val="_HIT-&gt;HMC_견적(3900)"/>
      <sheetName val="공사비_검토내역서"/>
      <sheetName val="갑(전기)"/>
      <sheetName val="갑(계장)"/>
      <sheetName val="대림경상68억"/>
      <sheetName val="교통대책내역"/>
      <sheetName val="입력"/>
      <sheetName val="TOEIC기준점수"/>
      <sheetName val="정산내역"/>
      <sheetName val="1_2공구원가계산서"/>
      <sheetName val="개요"/>
      <sheetName val="일괄인쇄"/>
      <sheetName val="DATE"/>
      <sheetName val="호표"/>
      <sheetName val="3BL공동구 수량"/>
      <sheetName val="노임조서"/>
      <sheetName val="일위1"/>
      <sheetName val="cable산출"/>
      <sheetName val="을"/>
      <sheetName val="금호"/>
      <sheetName val="투찰내역"/>
      <sheetName val="민속촌메뉴"/>
      <sheetName val="정부노임단가"/>
      <sheetName val="2F 회의실견적_5_14 일대_"/>
      <sheetName val="제-노임"/>
      <sheetName val="제직재"/>
      <sheetName val="남양시작동자105노65기1.3화1.2"/>
      <sheetName val="토목내역"/>
      <sheetName val="외주가공"/>
      <sheetName val="DATA(BAC)"/>
      <sheetName val="데이타"/>
      <sheetName val="DATA"/>
      <sheetName val="전기일위대가"/>
      <sheetName val="기초공"/>
      <sheetName val="기둥(원형)"/>
      <sheetName val="일위"/>
      <sheetName val="COPING"/>
      <sheetName val="danga"/>
      <sheetName val="ilch"/>
      <sheetName val="Galaxy 소비자가격표"/>
      <sheetName val="실행내역"/>
      <sheetName val="손익분석"/>
      <sheetName val="단가표 "/>
      <sheetName val="Customer Databas"/>
      <sheetName val="TEL"/>
      <sheetName val="노임단가 (2)"/>
      <sheetName val="주소"/>
      <sheetName val="견적서"/>
      <sheetName val="터파기및재료"/>
      <sheetName val="실행내역서 "/>
      <sheetName val="설계조건"/>
      <sheetName val="안정계산"/>
      <sheetName val="단면검토"/>
      <sheetName val="교통표지"/>
      <sheetName val="일위대가(1)"/>
      <sheetName val="예산총괄"/>
      <sheetName val="여과지동"/>
      <sheetName val="기초자료"/>
      <sheetName val="대기업"/>
      <sheetName val="기안"/>
      <sheetName val="날개벽수량표"/>
      <sheetName val="확인"/>
      <sheetName val="인원계획"/>
      <sheetName val="Y-WORK"/>
      <sheetName val="2F_회의실견적(5_14_일대)"/>
      <sheetName val="_HIT__HMC_견적_3900_"/>
      <sheetName val="A_견적"/>
      <sheetName val="CM_1"/>
      <sheetName val="wall"/>
      <sheetName val="Front"/>
      <sheetName val="견적서(4)"/>
      <sheetName val="실행철강하도"/>
      <sheetName val="시운전연료"/>
      <sheetName val="Sheet5"/>
      <sheetName val="집-년간총율"/>
      <sheetName val="단가"/>
      <sheetName val="관급_File"/>
      <sheetName val="WORK"/>
      <sheetName val="공통가설"/>
      <sheetName val="경율산정.XLS"/>
      <sheetName val="자재단가"/>
      <sheetName val="간접재료비산출표-27-30"/>
      <sheetName val="일위대가목록"/>
      <sheetName val="국내조달(통합-1)"/>
      <sheetName val="노임단가"/>
      <sheetName val="표지_(5_15)_가구별도1"/>
      <sheetName val="_HIT-&gt;HMC_견적(3900)1"/>
      <sheetName val="공사비_검토내역서1"/>
      <sheetName val="2F_회의실견적(5_14_일대)1"/>
      <sheetName val="_HIT__HMC_견적_3900_1"/>
      <sheetName val="A_견적1"/>
      <sheetName val="CM_11"/>
      <sheetName val="을지__(2)"/>
      <sheetName val="실행내역서_"/>
      <sheetName val="노무비_근거"/>
      <sheetName val="3.1내역서(VDS)"/>
      <sheetName val="일위총괄"/>
      <sheetName val="일위산출근거"/>
      <sheetName val="수량집계(일반통신)"/>
      <sheetName val="자동제어"/>
      <sheetName val="비교표"/>
      <sheetName val="신대방33(적용)"/>
      <sheetName val="제경비율"/>
      <sheetName val="내역"/>
      <sheetName val="Baby일위대가"/>
      <sheetName val="대,유,램"/>
      <sheetName val="12.일위대가"/>
      <sheetName val="갑지"/>
      <sheetName val="부하계산서"/>
      <sheetName val="소요자재"/>
      <sheetName val="JUCKEYK"/>
      <sheetName val="금액"/>
      <sheetName val="新철폐복2"/>
      <sheetName val="新철폐복3"/>
      <sheetName val="Sheet13"/>
      <sheetName val="간선"/>
      <sheetName val="FAX"/>
      <sheetName val=" 갑지"/>
      <sheetName val="일위_파일"/>
      <sheetName val="선급금신청서"/>
      <sheetName val="대조동"/>
      <sheetName val="일대"/>
      <sheetName val="Proposal"/>
      <sheetName val="이월"/>
      <sheetName val="산수배수"/>
      <sheetName val="04.01"/>
      <sheetName val="안양동교 1안"/>
      <sheetName val="기본사항"/>
      <sheetName val="가스"/>
      <sheetName val="인건-측정"/>
      <sheetName val="건설실행"/>
      <sheetName val="증감대비"/>
      <sheetName val="주요항목별"/>
      <sheetName val="토공사기성 "/>
      <sheetName val="진입도로기성"/>
      <sheetName val="부대토목기성"/>
      <sheetName val="내역(포장공사)"/>
      <sheetName val="자연석쌓기 (3)"/>
      <sheetName val="녹생토공사"/>
      <sheetName val=" (2)"/>
      <sheetName val="진입도로 변경(수직구 본사)"/>
      <sheetName val="진입도로 기성비교"/>
      <sheetName val="기성고조서내역(토공사)  변경"/>
      <sheetName val="정구조(소음진동, 정산)"/>
      <sheetName val="사면안전성내역(정산완)"/>
      <sheetName val="계측(A,안식일)"/>
      <sheetName val="기성집계표"/>
      <sheetName val="수직구 공사 비교표"/>
      <sheetName val="부대토목내역"/>
      <sheetName val="토목기성내역"/>
      <sheetName val="기성갑지"/>
      <sheetName val="일위대가1"/>
      <sheetName val="예산조서"/>
      <sheetName val="시약"/>
      <sheetName val=""/>
      <sheetName val="단위중량"/>
      <sheetName val="코드표"/>
      <sheetName val="지급자재"/>
      <sheetName val="금액내역서"/>
      <sheetName val="일위대가표"/>
      <sheetName val="금융비용"/>
      <sheetName val="list price"/>
      <sheetName val="일위산출"/>
      <sheetName val="견적서 N"/>
      <sheetName val="시운전연료비"/>
      <sheetName val="PAC"/>
      <sheetName val="공통비(전체)"/>
      <sheetName val="목차"/>
      <sheetName val="1월"/>
      <sheetName val="외주정비"/>
      <sheetName val="첨부1"/>
      <sheetName val="공비대비"/>
      <sheetName val="4.2유효폭의 계산"/>
      <sheetName val="종배수관"/>
      <sheetName val="천공배관"/>
      <sheetName val="A1"/>
      <sheetName val="GC산출"/>
      <sheetName val="Assumption"/>
      <sheetName val="빙100장비사양"/>
      <sheetName val="한강운반비"/>
    </sheetNames>
    <sheetDataSet>
      <sheetData sheetId="0">
        <row r="31">
          <cell r="J31">
            <v>1.4</v>
          </cell>
        </row>
      </sheetData>
      <sheetData sheetId="1" refreshError="1">
        <row r="31">
          <cell r="J31">
            <v>1.4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일위대가"/>
      <sheetName val="일위목록"/>
      <sheetName val=" HIT-&gt;HMC 견적(3900)"/>
      <sheetName val="요율"/>
      <sheetName val="KKK"/>
      <sheetName val="#2_일위대가목록"/>
      <sheetName val="홍보비디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표지 (3)"/>
      <sheetName val="표지"/>
      <sheetName val="표지 (2)"/>
      <sheetName val="내역서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대비"/>
      <sheetName val="제경비"/>
      <sheetName val="내역"/>
      <sheetName val="수량집계"/>
      <sheetName val="수량(교각)"/>
      <sheetName val="수량산출(2)"/>
      <sheetName val="단가(동바리)"/>
      <sheetName val="단가(강재운반)"/>
      <sheetName val="총괄표"/>
      <sheetName val="추진계획"/>
      <sheetName val="추진실적"/>
      <sheetName val="Sheet3"/>
      <sheetName val="공정표"/>
      <sheetName val="일수계산"/>
      <sheetName val="터널공기"/>
      <sheetName val="Sheet1"/>
      <sheetName val="Sheet2"/>
      <sheetName val="업협(토공,철콘)"/>
      <sheetName val="실행예산"/>
      <sheetName val="시방서"/>
      <sheetName val="계약현황"/>
      <sheetName val="간지"/>
      <sheetName val="견적(토공)"/>
      <sheetName val="견적(철콘)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xxxxxx"/>
      <sheetName val="0000"/>
      <sheetName val="현황"/>
      <sheetName val="철콘"/>
      <sheetName val="입찰표지"/>
      <sheetName val="한전일위"/>
      <sheetName val="입찰안"/>
      <sheetName val="BID"/>
      <sheetName val=" HIT-&gt;HMC 견적(3900)"/>
      <sheetName val="산출내역서"/>
      <sheetName val="투찰내역"/>
      <sheetName val="일위목록"/>
      <sheetName val="요율"/>
      <sheetName val="실행철강하도"/>
      <sheetName val="후다내역"/>
      <sheetName val="SG"/>
      <sheetName val="일위대가목록"/>
      <sheetName val="갑지"/>
      <sheetName val="현장관리비"/>
      <sheetName val="일위대가"/>
      <sheetName val="단가"/>
      <sheetName val="합계"/>
      <sheetName val="중기비"/>
      <sheetName val="노무비"/>
      <sheetName val="인부신상자료"/>
      <sheetName val="일위CODE"/>
      <sheetName val="간접비계산"/>
      <sheetName val="Macro1"/>
      <sheetName val="일  위  대  가  목  록"/>
      <sheetName val="일위산출"/>
      <sheetName val="산수배수"/>
      <sheetName val="자재단가"/>
      <sheetName val="품셈"/>
      <sheetName val="설계가"/>
      <sheetName val="1공구원가계산서"/>
      <sheetName val="1공구산출내역서"/>
      <sheetName val="1유리"/>
      <sheetName val="금액결정"/>
      <sheetName val="단가산출"/>
      <sheetName val="단가표"/>
      <sheetName val="2공구산출내역"/>
      <sheetName val="당초명세(평)"/>
      <sheetName val="직노"/>
      <sheetName val="조건표 (2)"/>
      <sheetName val="원가계산서"/>
      <sheetName val="#REF"/>
      <sheetName val="관급자재"/>
      <sheetName val="#2_일위대가목록"/>
      <sheetName val="INSTR"/>
      <sheetName val="운반비요율"/>
      <sheetName val="교각토공 _2_"/>
      <sheetName val="세부추진"/>
      <sheetName val="제안서"/>
      <sheetName val="상용보강"/>
      <sheetName val="행정표준(1)"/>
      <sheetName val="행정표준(2)"/>
      <sheetName val="장문교(대전)"/>
      <sheetName val="관급"/>
      <sheetName val="장비"/>
      <sheetName val="산근1"/>
      <sheetName val="노무"/>
      <sheetName val="자재"/>
      <sheetName val="우배수"/>
      <sheetName val="계산식"/>
      <sheetName val="전체"/>
      <sheetName val="6PILE  (돌출)"/>
      <sheetName val="PI"/>
      <sheetName val="품셈총괄표"/>
      <sheetName val="원형1호맨홀토공수량"/>
      <sheetName val="덕전리"/>
      <sheetName val="노임단가"/>
      <sheetName val="HRSG SMALL07220"/>
      <sheetName val="건설성적"/>
      <sheetName val="간접(90)"/>
      <sheetName val="1단계"/>
      <sheetName val="일위총괄"/>
      <sheetName val="단가적용"/>
      <sheetName val="저"/>
      <sheetName val="참조"/>
      <sheetName val="작업일보"/>
      <sheetName val="증감내역서"/>
      <sheetName val="6. 안전관리비"/>
      <sheetName val="유동표"/>
      <sheetName val="1,2공구원가계산서"/>
      <sheetName val="3.공통공사대비"/>
      <sheetName val="노임"/>
      <sheetName val="준검 내역서"/>
      <sheetName val="b_balju"/>
      <sheetName val="내역(한신APT)"/>
      <sheetName val="조명율표"/>
      <sheetName val="JUCKEYK"/>
      <sheetName val="S0"/>
      <sheetName val="기본설계기준"/>
      <sheetName val="일위"/>
      <sheetName val="조건표"/>
      <sheetName val="차액보증"/>
      <sheetName val="견적의뢰서"/>
      <sheetName val="일위대가D"/>
      <sheetName val="2000년1차"/>
      <sheetName val="2000전체분"/>
      <sheetName val="내역전기"/>
      <sheetName val="노무비 근거"/>
      <sheetName val="수정2"/>
      <sheetName val="조명시설"/>
      <sheetName val="지급자재"/>
      <sheetName val="표지1"/>
      <sheetName val="작성방법"/>
      <sheetName val="3개월-백데이타"/>
      <sheetName val="LG배관재단가"/>
      <sheetName val="다다수전류단가"/>
      <sheetName val="LG유통상품단가표"/>
      <sheetName val="단위량당중기"/>
      <sheetName val="코드표"/>
      <sheetName val="TEST1"/>
      <sheetName val="수량3"/>
      <sheetName val="터널대가"/>
      <sheetName val="도급"/>
      <sheetName val="IT-BAT"/>
      <sheetName val="수문일위1"/>
      <sheetName val="c_balju"/>
      <sheetName val="물가시세"/>
      <sheetName val="하도내역 (철콘)"/>
      <sheetName val="특기사항"/>
      <sheetName val="기초1"/>
      <sheetName val="Macro2"/>
      <sheetName val="입출재고현황 (2)"/>
      <sheetName val="일위대가목록표"/>
      <sheetName val="을"/>
      <sheetName val="2터널시점"/>
      <sheetName val="첨부1"/>
      <sheetName val="별표집계"/>
      <sheetName val="97년 추정"/>
      <sheetName val="10공구일위"/>
      <sheetName val="수량산출서"/>
      <sheetName val="신공항A-9(원가수정)"/>
      <sheetName val="집계"/>
      <sheetName val="개거총"/>
      <sheetName val="배수내역"/>
      <sheetName val="ORIGIN"/>
      <sheetName val="설계예산서"/>
      <sheetName val="FORM-0"/>
      <sheetName val="표준건축비"/>
      <sheetName val="임율 Data"/>
      <sheetName val="이월"/>
      <sheetName val="예산총괄"/>
      <sheetName val="입력데이타"/>
      <sheetName val="목차 "/>
      <sheetName val="A1"/>
      <sheetName val="일위단가"/>
      <sheetName val="BSD (2)"/>
      <sheetName val="노임조서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일위대가목차"/>
      <sheetName val="DHEQSUPT"/>
      <sheetName val="48일위"/>
      <sheetName val="수량산출"/>
      <sheetName val="기계내역"/>
      <sheetName val="장비단가"/>
      <sheetName val="WORK"/>
      <sheetName val="중기"/>
      <sheetName val="U형개거"/>
      <sheetName val="공통가설"/>
      <sheetName val="BND"/>
      <sheetName val="약품공급2"/>
      <sheetName val="인사자료총집계"/>
      <sheetName val="단면가정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3_공통공사대비"/>
      <sheetName val="HRSG_SMALL07220"/>
      <sheetName val="6__안전관리비"/>
      <sheetName val="1.설계기준"/>
      <sheetName val="산출근거"/>
      <sheetName val="공정집계_국별"/>
      <sheetName val="DANGA"/>
      <sheetName val="간선계산"/>
      <sheetName val="업체별기성내역"/>
      <sheetName val="포장(수량)-관로부"/>
      <sheetName val="일위산출근거"/>
      <sheetName val="추가예산"/>
      <sheetName val="SLAB근거-1"/>
      <sheetName val="단면 (2)"/>
      <sheetName val="실행대비"/>
      <sheetName val="기본단가표"/>
      <sheetName val="8.현장관리비"/>
      <sheetName val="7.안전관리비"/>
      <sheetName val="공량산출서"/>
      <sheetName val="하도금액분계"/>
      <sheetName val="견적"/>
      <sheetName val="인원"/>
      <sheetName val="CTEMCOST"/>
      <sheetName val="중기일위대가"/>
      <sheetName val="P_RPTB04_산근"/>
      <sheetName val="구조     ."/>
      <sheetName val="직접비"/>
      <sheetName val="건장설비"/>
      <sheetName val="교통대책내역"/>
      <sheetName val="토공사"/>
      <sheetName val="토공유동표(전체.당초)"/>
      <sheetName val="유입량"/>
      <sheetName val="호안사석"/>
      <sheetName val="배수자집"/>
      <sheetName val="단위단가"/>
      <sheetName val="Total"/>
      <sheetName val="준검_내역서"/>
      <sheetName val="97년_추정"/>
      <sheetName val="6PILE__(돌출)"/>
      <sheetName val="토목품셈"/>
      <sheetName val="수량분개내역"/>
      <sheetName val="전기"/>
      <sheetName val="FB25JN"/>
      <sheetName val="공사내역서(을)실행"/>
      <sheetName val="기성갑지"/>
      <sheetName val="인명부"/>
      <sheetName val="7. 현장관리비 "/>
      <sheetName val="인사자료"/>
      <sheetName val="일일"/>
      <sheetName val="#2정산"/>
      <sheetName val="8.PILE  (돌출)"/>
      <sheetName val="잡비"/>
      <sheetName val="제경비산출서"/>
      <sheetName val="철거산출근거"/>
      <sheetName val="음성방향"/>
      <sheetName val="유치원내역"/>
      <sheetName val="일위(PN)"/>
      <sheetName val="설계"/>
      <sheetName val="환기시설"/>
      <sheetName val="조명"/>
      <sheetName val="점보전력사용"/>
      <sheetName val="단면"/>
      <sheetName val="배수처리"/>
      <sheetName val="입력자료(노무비)"/>
      <sheetName val="기본단가"/>
      <sheetName val="2000용수잠관-수량집계"/>
      <sheetName val="1. 설계조건 2.단면가정 3. 하중계산"/>
      <sheetName val="DATA 입력란"/>
      <sheetName val="INPUT"/>
      <sheetName val="DATE"/>
      <sheetName val="토공(1)"/>
      <sheetName val="차수공(1)"/>
      <sheetName val="DATA"/>
      <sheetName val="b_balju (2)"/>
      <sheetName val="b_gunmul"/>
      <sheetName val="효율표"/>
      <sheetName val="배수공"/>
      <sheetName val="노무비 "/>
      <sheetName val="경상비"/>
      <sheetName val="전문하도급"/>
      <sheetName val="교량전기"/>
      <sheetName val="평가데이터"/>
      <sheetName val="MOTOR"/>
      <sheetName val="현장관리비 산출내역"/>
      <sheetName val="내역표지"/>
      <sheetName val="가스"/>
      <sheetName val="양수장(기계)"/>
      <sheetName val="단위중량"/>
      <sheetName val="4.일위대가집계"/>
      <sheetName val="ABUT수량-A1"/>
      <sheetName val="적현로"/>
      <sheetName val="(당평)자재"/>
      <sheetName val="재료비"/>
      <sheetName val="일위대가표48"/>
      <sheetName val="총괄내역서"/>
      <sheetName val="1.설계조건"/>
      <sheetName val="유림골조"/>
      <sheetName val="공통부대비"/>
      <sheetName val="사업관리"/>
      <sheetName val="운반"/>
      <sheetName val="물가자료"/>
      <sheetName val="프랜트면허"/>
      <sheetName val="토목주소"/>
      <sheetName val="공사비증감"/>
      <sheetName val="tggwan(mac)"/>
      <sheetName val="SHL"/>
      <sheetName val="(원)기흥상갈"/>
      <sheetName val="결재난"/>
      <sheetName val="금액내역서"/>
      <sheetName val="만년달력"/>
      <sheetName val="RE9604"/>
      <sheetName val="설계명세서"/>
      <sheetName val="내역서 제출"/>
      <sheetName val="자료입력"/>
      <sheetName val="내역(2000년)"/>
      <sheetName val="실행내역서 "/>
      <sheetName val="경영상태"/>
      <sheetName val="시화점실행"/>
      <sheetName val="금융비용"/>
      <sheetName val="콘크리트타설집계표"/>
      <sheetName val="2"/>
      <sheetName val="우수"/>
      <sheetName val="일위집계(기존)"/>
      <sheetName val="A LINE"/>
      <sheetName val="공사비예산서(토목분)"/>
      <sheetName val="이형관중량"/>
      <sheetName val="일위대가(목록)"/>
      <sheetName val="산근(목록)"/>
      <sheetName val="70%"/>
      <sheetName val="시중노임단가"/>
      <sheetName val="정렬"/>
      <sheetName val="일위총괄표"/>
      <sheetName val="단가비교표"/>
      <sheetName val="일위(시설)"/>
      <sheetName val="중기조종사 단위단가"/>
      <sheetName val="청천내"/>
      <sheetName val="CONCRETE"/>
      <sheetName val="갑지(추정)"/>
      <sheetName val="변경내역"/>
      <sheetName val="세부내역서"/>
      <sheetName val="건설실행"/>
      <sheetName val="파이프류"/>
      <sheetName val="점검총괄"/>
      <sheetName val="금리계산"/>
      <sheetName val="대로근거"/>
      <sheetName val="중로근거"/>
      <sheetName val="측량요율"/>
      <sheetName val="자재대"/>
      <sheetName val="BQ"/>
      <sheetName val="예가표"/>
      <sheetName val="우석문틀"/>
      <sheetName val="Temporary Mooring"/>
      <sheetName val="공문"/>
      <sheetName val="lab"/>
      <sheetName val="7.PILE  (돌출)"/>
      <sheetName val="품셈TABLE"/>
      <sheetName val="2.대외공문"/>
      <sheetName val="식재가격"/>
      <sheetName val="식재총괄"/>
      <sheetName val="5. 현장관리비(new) "/>
      <sheetName val="산출내역서집계표"/>
      <sheetName val="5_ 현장관리비_new_ "/>
      <sheetName val="기본일위"/>
      <sheetName val="일H35Y4"/>
      <sheetName val="현장일반사항"/>
      <sheetName val="화재 탐지 설비"/>
      <sheetName val="날개벽(시점좌측)"/>
      <sheetName val="맨홀수량산출"/>
      <sheetName val="격점별물량"/>
      <sheetName val="경비2내역"/>
      <sheetName val="간 지1"/>
      <sheetName val="초기화면"/>
      <sheetName val="재료집계표"/>
      <sheetName val="인건비"/>
      <sheetName val="경산"/>
      <sheetName val="Customer Databas"/>
      <sheetName val="일위대가(1)"/>
      <sheetName val="실행내역"/>
      <sheetName val="부하계산서"/>
      <sheetName val="날개벽수량표"/>
      <sheetName val="인원계획"/>
      <sheetName val="일위대가집계"/>
      <sheetName val="단가대비표"/>
      <sheetName val="설계내역"/>
      <sheetName val="마산방향철근집계"/>
      <sheetName val="진주방향"/>
      <sheetName val="여과지동"/>
      <sheetName val="기초자료"/>
      <sheetName val="기계경비일람"/>
      <sheetName val="횡배위치"/>
      <sheetName val="일반공사"/>
      <sheetName val="기자재비"/>
      <sheetName val="자동제어"/>
      <sheetName val="교각계산"/>
      <sheetName val="700seg"/>
      <sheetName val="개산공사비"/>
      <sheetName val="COVER-P"/>
      <sheetName val="화전내"/>
      <sheetName val="공사원가계산서"/>
      <sheetName val="자재일람"/>
      <sheetName val="방배동내역(리라)"/>
      <sheetName val="현장경비"/>
      <sheetName val="건축공사집계표"/>
      <sheetName val="방배동내역 (총괄)"/>
      <sheetName val="부대공사총괄"/>
      <sheetName val="단가산출(T)"/>
      <sheetName val="일위대가목록(ems)"/>
      <sheetName val="대치판정"/>
      <sheetName val="기계"/>
      <sheetName val="252K444"/>
      <sheetName val="인계"/>
      <sheetName val="U-TYPE(1)"/>
      <sheetName val="N賃率-職"/>
      <sheetName val="원도급"/>
      <sheetName val="하도급"/>
      <sheetName val="내역서2안"/>
      <sheetName val="일위목록데이타"/>
      <sheetName val="돈암사업"/>
      <sheetName val="2.2_오피스텔(12~32F)"/>
      <sheetName val="설내역서 "/>
      <sheetName val="1"/>
      <sheetName val="현장별"/>
      <sheetName val="간접비"/>
      <sheetName val="하중계산"/>
      <sheetName val="철근량"/>
      <sheetName val="일위대가 집계표"/>
      <sheetName val="특수선일위대가"/>
      <sheetName val="1-1"/>
      <sheetName val="단중표"/>
      <sheetName val="코드"/>
      <sheetName val="원가계산서(변경)"/>
      <sheetName val="하도내역_(철콘)"/>
      <sheetName val="입출재고현황_(2)"/>
      <sheetName val="노무비_근거"/>
      <sheetName val="임율_Data"/>
      <sheetName val="조건표_(2)"/>
      <sheetName val="목차_"/>
      <sheetName val="1_설계기준"/>
      <sheetName val="7__현장관리비_"/>
      <sheetName val="전도금월정금액"/>
      <sheetName val="입력정보"/>
      <sheetName val="기성내역"/>
      <sheetName val="차수"/>
      <sheetName val="월별손익"/>
      <sheetName val="법면"/>
      <sheetName val="부대공"/>
      <sheetName val="구조물공"/>
      <sheetName val="포장공"/>
      <sheetName val="배수공1"/>
      <sheetName val="일위대가(가설)"/>
      <sheetName val="건축공사"/>
      <sheetName val="기초단가"/>
      <sheetName val="입력데이타(비인쇄용)"/>
      <sheetName val="총 원가계산"/>
      <sheetName val="동천하상준설"/>
      <sheetName val="자  재"/>
      <sheetName val="건축외주"/>
      <sheetName val=" 갑지"/>
      <sheetName val="1.취수장"/>
      <sheetName val="실행(ALT1)"/>
      <sheetName val="환율change"/>
      <sheetName val="GRDBS"/>
      <sheetName val="견적대비표"/>
      <sheetName val="Y-WORK"/>
      <sheetName val="4 LINE"/>
      <sheetName val="7 th"/>
      <sheetName val="C10집계2"/>
      <sheetName val="노원열병합  건축공사기성내역서"/>
      <sheetName val="개요"/>
      <sheetName val="케이블규격"/>
      <sheetName val="COVERSHEET"/>
      <sheetName val="할증 "/>
      <sheetName val="개인별 순위표"/>
      <sheetName val="CM 1"/>
      <sheetName val="전기실-1"/>
      <sheetName val="ROOF(ALKALI)"/>
      <sheetName val="세골재  T2 변경 현황"/>
      <sheetName val="일용직6월"/>
      <sheetName val="설 계"/>
      <sheetName val="제출내역 (2)"/>
      <sheetName val="소방"/>
      <sheetName val="간접1"/>
      <sheetName val="J直材4"/>
      <sheetName val="9.1지하2층하부보"/>
      <sheetName val="집 계 표"/>
      <sheetName val="계측기"/>
      <sheetName val="B"/>
      <sheetName val="선정요령"/>
      <sheetName val="외주대비 -석축_x0000__x0000__x0000__x0000__x0000__x0012_[후다내역.XLS]견적표지 (3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교각토공__2_1"/>
      <sheetName val="3_공통공사대비1"/>
      <sheetName val="6__안전관리비1"/>
      <sheetName val="6PILE__(돌출)1"/>
      <sheetName val="HRSG_SMALL072201"/>
      <sheetName val="준검_내역서1"/>
      <sheetName val="97년_추정1"/>
      <sheetName val="2차전체변경예정_(2)"/>
      <sheetName val="BSD_(2)"/>
      <sheetName val="토공유동표(전체_당초)"/>
      <sheetName val="단면_(2)"/>
      <sheetName val="b_balju_(2)"/>
      <sheetName val="8_PILE__(돌출)"/>
      <sheetName val="8_현장관리비"/>
      <sheetName val="7_안전관리비"/>
      <sheetName val="중기조종사_단위단가"/>
      <sheetName val="Code"/>
      <sheetName val="양덕동"/>
      <sheetName val="경비"/>
      <sheetName val="총괄"/>
      <sheetName val="단계별내역 (2)"/>
      <sheetName val="데이타"/>
      <sheetName val="식재인부"/>
      <sheetName val="2.2 띠장의 설계"/>
      <sheetName val="Sheet1 (2)"/>
      <sheetName val="퍼스트"/>
      <sheetName val="기술부 VENDOR LIST"/>
      <sheetName val="자재단가비교표"/>
      <sheetName val="골조"/>
      <sheetName val="골조시행"/>
      <sheetName val="가설건물"/>
      <sheetName val="Print"/>
      <sheetName val="MATRLDATA"/>
      <sheetName val="인천제철"/>
      <sheetName val="FACTOR"/>
      <sheetName val="잔수량(작성)"/>
      <sheetName val="단가삐출"/>
      <sheetName val="Sheet5"/>
      <sheetName val="입력"/>
      <sheetName val="일용직"/>
      <sheetName val="6_ 안전관리비"/>
      <sheetName val="전체내역서"/>
      <sheetName val="전기내역서"/>
      <sheetName val="자재수량"/>
      <sheetName val="일위대가목록(기계)"/>
      <sheetName val="터파기및재료"/>
      <sheetName val="3련 BOX"/>
      <sheetName val="부하(성남)"/>
      <sheetName val="일대"/>
      <sheetName val="증감대비"/>
      <sheetName val="남양내역"/>
      <sheetName val="단위목록"/>
      <sheetName val="자재운반단가일람표"/>
      <sheetName val="기계경비목록1"/>
      <sheetName val="4.일위대가"/>
      <sheetName val="제수변수량"/>
      <sheetName val="수리결과"/>
      <sheetName val="부대내역"/>
      <sheetName val="중기사용료"/>
      <sheetName val="COVER"/>
      <sheetName val="플랜트 설치"/>
      <sheetName val="감액총괄표"/>
      <sheetName val="옥외배관기본공량"/>
      <sheetName val="대비2"/>
      <sheetName val="옥외외등집계표"/>
      <sheetName val="추가일위대가"/>
      <sheetName val="주요항목별"/>
      <sheetName val="1공구 건정토건 토공"/>
      <sheetName val="1공구 건정토건 철콘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제어계측"/>
      <sheetName val="Sheet4"/>
      <sheetName val="Sheet6"/>
      <sheetName val="Sheet16"/>
      <sheetName val="보도내역 (3)"/>
      <sheetName val="Module1"/>
      <sheetName val="Qheet6"/>
      <sheetName val="총괄-1"/>
      <sheetName val="단가산출서"/>
      <sheetName val="공사개요"/>
      <sheetName val="주차구획선수량"/>
      <sheetName val="부대tu"/>
      <sheetName val="목차"/>
      <sheetName val="정부노임단가"/>
      <sheetName val="A-4"/>
      <sheetName val="금호"/>
      <sheetName val="하조서"/>
      <sheetName val="한강운반비"/>
      <sheetName val="서∼군(2)"/>
      <sheetName val="가도공"/>
      <sheetName val="변경비교-을"/>
      <sheetName val="6공구(당초)"/>
      <sheetName val="품의서"/>
      <sheetName val="데리네이타현황"/>
      <sheetName val="재개발"/>
      <sheetName val="내역(최종본4.5)"/>
      <sheetName val="SP-B1"/>
      <sheetName val="토적집계"/>
      <sheetName val="98NS-N"/>
      <sheetName val="소야공정계획표"/>
      <sheetName val="45,46"/>
      <sheetName val="기초코드"/>
      <sheetName val="1.수인터널"/>
      <sheetName val="일위대가표"/>
      <sheetName val="보할"/>
      <sheetName val="관개"/>
      <sheetName val="설비"/>
      <sheetName val="공업용수관로"/>
      <sheetName val="일위(토목)"/>
      <sheetName val="물량표"/>
      <sheetName val="낙찰표"/>
      <sheetName val="입적표"/>
      <sheetName val="지주설치제원"/>
      <sheetName val="준공조서갑지"/>
      <sheetName val="실행내역서"/>
      <sheetName val="98지급계획"/>
      <sheetName val="수문일1"/>
      <sheetName val="가시설"/>
      <sheetName val="시공여유율"/>
      <sheetName val="SANTOGO"/>
      <sheetName val="흥양2교토공집계표"/>
      <sheetName val="eq_data"/>
      <sheetName val="ELECTRIC"/>
      <sheetName val="전기공사"/>
      <sheetName val="AS포장복구 "/>
      <sheetName val="건축내역서"/>
      <sheetName val="Dae_Jiju"/>
      <sheetName val="Sikje_ingun"/>
      <sheetName val="TREE_D"/>
      <sheetName val="입력시트"/>
      <sheetName val="장비집계"/>
      <sheetName val="결과조달"/>
      <sheetName val="원본(갑지)"/>
      <sheetName val="3차준공"/>
      <sheetName val="입찰품의서"/>
      <sheetName val="토사(PE)"/>
      <sheetName val="날개벽"/>
      <sheetName val="choose"/>
      <sheetName val="말뚝지지력산정"/>
      <sheetName val="공통(20-91)"/>
      <sheetName val="분전반"/>
      <sheetName val="특별"/>
      <sheetName val="일위1"/>
      <sheetName val="임율산출표"/>
      <sheetName val="9GNG운반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Baby일위대가"/>
      <sheetName val="샘플표지"/>
      <sheetName val="s"/>
      <sheetName val="시운전연료비"/>
      <sheetName val="지원사무소원가배부내역"/>
      <sheetName val="4.2.1 마루높이 검토"/>
      <sheetName val="수량산출목록표"/>
      <sheetName val="WING3"/>
      <sheetName val="VE절감"/>
      <sheetName val="청주(철골발주의뢰서)"/>
      <sheetName val="관로분포도"/>
      <sheetName val="총체"/>
      <sheetName val="시설,관리하위"/>
      <sheetName val="MODELING"/>
      <sheetName val="건축내역"/>
      <sheetName val="마산월령동골조물량변경"/>
      <sheetName val="환산"/>
      <sheetName val="호표"/>
      <sheetName val="실행내역_원본"/>
      <sheetName val="GEN"/>
      <sheetName val="확약서"/>
      <sheetName val="대운반(철재)"/>
      <sheetName val="기안"/>
      <sheetName val="원가계산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BOX 본체"/>
      <sheetName val="내역(설계)"/>
      <sheetName val="보도경계블럭"/>
      <sheetName val="6호기"/>
      <sheetName val="2.1외주"/>
      <sheetName val="2.3노무"/>
      <sheetName val="2.4자재"/>
      <sheetName val="2.2장비"/>
      <sheetName val="2.5경비"/>
      <sheetName val="2.6수목대"/>
      <sheetName val="기계경비"/>
      <sheetName val="소방사항"/>
      <sheetName val="방음벽기초"/>
      <sheetName val="도수로집계"/>
      <sheetName val="원하대비"/>
      <sheetName val="예산변경원인분석"/>
      <sheetName val="요약서"/>
      <sheetName val="맨홀토공"/>
      <sheetName val="cctv예산대비"/>
      <sheetName val="라이닝폼예산대비내역"/>
      <sheetName val="앵커(3안)"/>
      <sheetName val="깨기"/>
      <sheetName val="흄관수량"/>
      <sheetName val="STEEL BOX 단면설계(SEC.8)"/>
      <sheetName val="우수공,맨홀,집수정"/>
      <sheetName val="unit 4"/>
      <sheetName val="단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VXXXXX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공사비"/>
      <sheetName val="가드레일산근"/>
      <sheetName val="수량집계표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b_balju_cho"/>
      <sheetName val="실행총괄 "/>
      <sheetName val="토목"/>
      <sheetName val="본체"/>
      <sheetName val="[IL-3.XLSY갑지"/>
      <sheetName val=""/>
      <sheetName val="설비내역서"/>
      <sheetName val="CON'C"/>
      <sheetName val="도급내역서(재노경)"/>
      <sheetName val="4.일위대가목차"/>
      <sheetName val="96노임기준"/>
      <sheetName val="기계경비(시간당)"/>
      <sheetName val="램머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공사비총괄표"/>
      <sheetName val="차수공개요"/>
      <sheetName val="재료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단가 "/>
      <sheetName val="보온일위"/>
      <sheetName val="49일위"/>
      <sheetName val="22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총공사내역서"/>
      <sheetName val="DAN"/>
      <sheetName val="백호우계수"/>
      <sheetName val="설직재-1"/>
      <sheetName val="기흥하도용"/>
      <sheetName val="대포2교접속"/>
      <sheetName val="천방교접속"/>
      <sheetName val="실행예산서"/>
      <sheetName val="BQ(실행)"/>
      <sheetName val="일반전기(2단지-을지)"/>
      <sheetName val="단가조사"/>
      <sheetName val="토목공사"/>
      <sheetName val="일위대가(4층원격)"/>
      <sheetName val="BM"/>
      <sheetName val="찍기"/>
      <sheetName val="의왕내역"/>
      <sheetName val="세부내역"/>
      <sheetName val="단가대비"/>
      <sheetName val="총괄집계표"/>
      <sheetName val="인수공규격"/>
      <sheetName val="단가(1)"/>
      <sheetName val="원가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일위_파일"/>
      <sheetName val="연결임시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부하LOAD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단가목록"/>
      <sheetName val="비탈면보호공수량산출"/>
      <sheetName val="준공검사원(갑)"/>
      <sheetName val="기성내역서(을) (2)"/>
      <sheetName val="전기일위대가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견적서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바닥판"/>
      <sheetName val="입력DATA"/>
      <sheetName val="asd"/>
      <sheetName val="★도급내역"/>
      <sheetName val="back-data"/>
      <sheetName val="인월수표"/>
      <sheetName val="중기가격"/>
      <sheetName val="분전함신설"/>
      <sheetName val="접지1종"/>
      <sheetName val="단위수량"/>
      <sheetName val="진입도로B (2)"/>
      <sheetName val="백암비스타내역"/>
      <sheetName val="수목데이타 "/>
      <sheetName val="2.냉난방설비공사"/>
      <sheetName val="7.자동제어공사"/>
      <sheetName val="중강당 내역"/>
      <sheetName val="제-노임"/>
      <sheetName val="AV시스템"/>
      <sheetName val="guard(mac)"/>
      <sheetName val="COPING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산근"/>
      <sheetName val="수원역(전체분)설계서"/>
      <sheetName val="단가조사-2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48수량"/>
      <sheetName val="내역서 (2)"/>
      <sheetName val="98수문일위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노임이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ITEM"/>
      <sheetName val="단가(보완)"/>
      <sheetName val="대가 (보완)"/>
      <sheetName val="기계경비목록"/>
      <sheetName val="몰탈재료산출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정공공사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실행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99총공사내역서"/>
      <sheetName val="평야부단가"/>
      <sheetName val="예산서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인건비 "/>
      <sheetName val="기본자료"/>
      <sheetName val="설계서을"/>
      <sheetName val="을지"/>
      <sheetName val="EQ-R1"/>
      <sheetName val="L-type"/>
      <sheetName val="bearing"/>
      <sheetName val="조내역"/>
      <sheetName val="부안일위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갑지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DATA_입력란"/>
      <sheetName val="제잡비집계"/>
      <sheetName val="가로등내역서"/>
      <sheetName val="내역서(토목)"/>
      <sheetName val="미납품 현황"/>
      <sheetName val="신설개소별 총집계표(동해-배전)"/>
      <sheetName val="SSMITM"/>
      <sheetName val="4동급수"/>
      <sheetName val="기둥(원형)"/>
      <sheetName val="메서,변+증"/>
      <sheetName val="명일작업계획 (3)"/>
      <sheetName val="조건"/>
      <sheetName val="계정"/>
      <sheetName val="전 체"/>
      <sheetName val="일집"/>
      <sheetName val="배수관공"/>
      <sheetName val="장비가동"/>
      <sheetName val="주소"/>
      <sheetName val="소비자가"/>
      <sheetName val="PROCURE"/>
      <sheetName val="대공종"/>
      <sheetName val="0.0ControlSheet"/>
      <sheetName val="0.1keyAssumption"/>
      <sheetName val="현장관리"/>
      <sheetName val="횡배수관토공수량"/>
      <sheetName val="접속도로1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인건-측정"/>
      <sheetName val="BJJIN"/>
      <sheetName val="공제구간조서"/>
      <sheetName val="전체_1설계"/>
      <sheetName val="수로단위수량"/>
      <sheetName val="A-7-1LINE(수량)"/>
      <sheetName val="상-교대(A1-A2)"/>
      <sheetName val="기성신청"/>
      <sheetName val="하수급견적대비"/>
      <sheetName val="공문(신)"/>
      <sheetName val="APT"/>
      <sheetName val="STAND20"/>
      <sheetName val="강교(Sub)"/>
      <sheetName val="배수통관(좌)"/>
      <sheetName val="맨홀수량"/>
      <sheetName val="전차선로 물량표"/>
      <sheetName val="TYPE-A"/>
      <sheetName val="위치조서"/>
      <sheetName val="광산내역"/>
      <sheetName val="2000년하반기"/>
      <sheetName val="4.내진설계"/>
      <sheetName val="공사"/>
      <sheetName val="현장별계약현황('98.10.31)"/>
      <sheetName val="4)유동표"/>
      <sheetName val="충주"/>
      <sheetName val="구의33고"/>
      <sheetName val="전신"/>
      <sheetName val="wall"/>
      <sheetName val="설계내역서"/>
      <sheetName val="96보완계획7.12"/>
      <sheetName val="배관단가조사서"/>
      <sheetName val="교각1"/>
      <sheetName val="type-F"/>
      <sheetName val="설계예산"/>
      <sheetName val="전신환매도율"/>
      <sheetName val="손익현황"/>
      <sheetName val="현황CODE"/>
      <sheetName val="교대(A1)"/>
      <sheetName val="I一般比"/>
      <sheetName val="관일"/>
      <sheetName val="투찰(하수)"/>
      <sheetName val="현대물량"/>
      <sheetName val="nys"/>
      <sheetName val="일위대가(계측기설치)"/>
      <sheetName val="설계조건"/>
      <sheetName val="부재력정리"/>
      <sheetName val="최초침전지집계표"/>
      <sheetName val="TB-내역서"/>
      <sheetName val="EQUIP-H"/>
      <sheetName val="200"/>
      <sheetName val="신대방33(적용)"/>
      <sheetName val="구천"/>
      <sheetName val="평3"/>
      <sheetName val="수량조서"/>
      <sheetName val="현황산출서"/>
      <sheetName val="부대입찰 내역서"/>
      <sheetName val=" 총괄표"/>
      <sheetName val="적용대가"/>
      <sheetName val="공종별산출내역서"/>
      <sheetName val="수자재단위당"/>
      <sheetName val="자재목록"/>
      <sheetName val="중기목록"/>
      <sheetName val="노임목록"/>
      <sheetName val="제잡비.xls"/>
      <sheetName val="Eq. Mobilization"/>
      <sheetName val="3BL공동구 수량"/>
      <sheetName val="가격조사서"/>
      <sheetName val="토공(우물통,기타) "/>
      <sheetName val="명단"/>
      <sheetName val="포장단면별단위수량"/>
      <sheetName val="2.고용보험료산출근거"/>
      <sheetName val="세금자료"/>
      <sheetName val="연습"/>
      <sheetName val="자재집계표"/>
      <sheetName val="포장공자재집계표"/>
      <sheetName val="토목내역"/>
      <sheetName val="1_수인터널"/>
      <sheetName val="2_대외공문"/>
      <sheetName val="설_계"/>
      <sheetName val="AS포장복구_"/>
      <sheetName val="내역(최종본4_5)"/>
      <sheetName val="0_0ControlSheet"/>
      <sheetName val="0_1keyAssumption"/>
      <sheetName val="Front"/>
      <sheetName val="건축집계"/>
      <sheetName val="Type(123)"/>
      <sheetName val="전라자금"/>
      <sheetName val="b_yesan"/>
      <sheetName val="횡배수관"/>
      <sheetName val="원가계산 (2)"/>
      <sheetName val="화설내"/>
      <sheetName val="도급b_balju"/>
      <sheetName val="원가서"/>
      <sheetName val="뚝토공"/>
      <sheetName val="건축내역(진해석동)"/>
      <sheetName val="주경기-오배수"/>
      <sheetName val="팔당터널(1공구)"/>
      <sheetName val="VXXXXXXX"/>
      <sheetName val="전기단가조사서"/>
      <sheetName val="설계서"/>
      <sheetName val="총공사비"/>
      <sheetName val="집계표(수배전제조구매)"/>
      <sheetName val="F4-F7"/>
      <sheetName val="장비당단가 (1)"/>
      <sheetName val="Sheet2 (2)"/>
      <sheetName val="업무"/>
      <sheetName val="보고"/>
      <sheetName val="건축-물가변동"/>
      <sheetName val="_REF"/>
      <sheetName val="정보"/>
      <sheetName val="종단계산"/>
      <sheetName val="입적6-10"/>
      <sheetName val="실행간접비용"/>
      <sheetName val="마산방향"/>
      <sheetName val="INPUT(덕도방향-시점)"/>
      <sheetName val="CPM챠트"/>
      <sheetName val="지우지마"/>
      <sheetName val="설계기준"/>
      <sheetName val="내역1"/>
      <sheetName val="DC-O-4-S(설명서)"/>
      <sheetName val="평균터파기고(1-2,ASP)"/>
      <sheetName val="내   역"/>
      <sheetName val="단가(반정1교-원주)"/>
      <sheetName val="주요자재단가"/>
      <sheetName val="각형맨홀"/>
      <sheetName val="본공사"/>
      <sheetName val="자금청구"/>
      <sheetName val="0Title"/>
      <sheetName val="경영혁신본부"/>
      <sheetName val="내역서01"/>
      <sheetName val="프라임 강변역(4,236)"/>
      <sheetName val="집계표(OPTION)"/>
      <sheetName val="물집"/>
      <sheetName val="음료실행"/>
      <sheetName val="하중"/>
      <sheetName val="장비별표(오거보링)(Ø400)(12M)"/>
      <sheetName val="공사비산출내역"/>
      <sheetName val="IW-LIST"/>
      <sheetName val="발주설계서(당초)"/>
      <sheetName val="설-원가"/>
      <sheetName val="변경후원본2"/>
      <sheetName val="콤보박스와 리스트박스의 연결"/>
      <sheetName val="유형처분"/>
      <sheetName val="예산M6-B"/>
      <sheetName val="AB자재단가"/>
      <sheetName val="상세산출"/>
      <sheetName val="울산자금"/>
      <sheetName val="비교1"/>
      <sheetName val="신우"/>
      <sheetName val="강북라우터"/>
      <sheetName val="機器明細(MC)"/>
      <sheetName val="공사분석"/>
      <sheetName val="국내"/>
      <sheetName val="Sheet9"/>
      <sheetName val="건집"/>
      <sheetName val="기집"/>
      <sheetName val="토집"/>
      <sheetName val="조집"/>
      <sheetName val="2000년 공정표"/>
      <sheetName val="입찰보고"/>
      <sheetName val="건축적용원가계산"/>
      <sheetName val="총집계표"/>
      <sheetName val="신공항A-;(원가수정)"/>
      <sheetName val="수 량 명 세 서 - 1"/>
      <sheetName val="견적조건"/>
      <sheetName val="2.교량(신설)"/>
      <sheetName val="5.2코핑"/>
      <sheetName val="현경"/>
      <sheetName val="부대공Ⅱ"/>
      <sheetName val="맨홀(2호)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앵커구조계산"/>
      <sheetName val="밸브설치"/>
      <sheetName val="공정표 "/>
      <sheetName val="S12"/>
      <sheetName val="기초(1)"/>
      <sheetName val="P.M 별"/>
      <sheetName val="예산내역서"/>
      <sheetName val="수입"/>
      <sheetName val="TOT"/>
      <sheetName val="1호맨홀수량산출"/>
      <sheetName val="관련자료입력"/>
      <sheetName val="구조물철거타공정이월"/>
      <sheetName val="50-4(2차)"/>
      <sheetName val="철근단면적"/>
      <sheetName val="TBN실행"/>
      <sheetName val="지중자재단가"/>
      <sheetName val="역T형"/>
      <sheetName val="위생기구"/>
      <sheetName val="기계실냉난방"/>
      <sheetName val="4.경비 5.영업외수지"/>
      <sheetName val="TS"/>
      <sheetName val="지급어음"/>
      <sheetName val="최종보고1"/>
      <sheetName val="9-1차이내역"/>
      <sheetName val=" 견적서"/>
      <sheetName val="3월"/>
      <sheetName val="CJE"/>
      <sheetName val="내역서(전기)"/>
      <sheetName val="모래기초"/>
      <sheetName val="전체ﾴ엿서"/>
      <sheetName val="구조물터파기수량집계"/>
      <sheetName val="측구터파기공수량집계"/>
      <sheetName val="배수공 시멘트 및 골재량 산출"/>
      <sheetName val="예산총괄표"/>
      <sheetName val="대림경상68억"/>
      <sheetName val="별표 "/>
      <sheetName val="3F"/>
      <sheetName val="base"/>
      <sheetName val="포설list원본"/>
      <sheetName val="업무분장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간접경상비"/>
      <sheetName val="BREAKDOWN(철거설치)"/>
      <sheetName val="견적을지"/>
      <sheetName val="수토공단위당"/>
      <sheetName val="인원현황"/>
      <sheetName val="영업소실적"/>
      <sheetName val="대우"/>
      <sheetName val="1맨AO"/>
      <sheetName val="CALCULATION"/>
      <sheetName val="내역분기"/>
      <sheetName val="수목단가"/>
      <sheetName val="시설수량표"/>
      <sheetName val="식재수량표"/>
      <sheetName val="명세서"/>
      <sheetName val="입찰"/>
      <sheetName val="TABLE DB"/>
      <sheetName val="쌍용 data base"/>
      <sheetName val="공통가설공사"/>
      <sheetName val="구분자"/>
      <sheetName val="1차설계변경내역"/>
      <sheetName val="간접"/>
      <sheetName val="작성기준"/>
      <sheetName val="본부장"/>
      <sheetName val="설계변경내역서"/>
      <sheetName val="MP MOB"/>
      <sheetName val="전체내역 (2)"/>
      <sheetName val="Hyundai.Unit.cost.xls"/>
      <sheetName val="OPTION"/>
      <sheetName val="년차"/>
      <sheetName val="자동세륜기"/>
      <sheetName val="사업개요"/>
      <sheetName val="현장관리비_입력"/>
      <sheetName val="품셈기준"/>
      <sheetName val="6.이토처리시간"/>
      <sheetName val="성토도수로현황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0"/>
      <sheetName val="Sheet11"/>
      <sheetName val="Sheet12"/>
      <sheetName val="Sheet13"/>
      <sheetName val="Sheet14"/>
      <sheetName val="Sheet15"/>
      <sheetName val="노무비단가"/>
      <sheetName val="감곡소요"/>
      <sheetName val="기본사항"/>
      <sheetName val="C䈀꼬ԯ"/>
      <sheetName val="적용토목"/>
      <sheetName val="당진1,2호기전선관설치및접지4차공사내역서-을지"/>
      <sheetName val="신천3호용수로"/>
      <sheetName val="통계연보"/>
      <sheetName val="인입관수량총괄"/>
      <sheetName val="연결원본-절대지우지말것"/>
      <sheetName val="일위대가집계표"/>
      <sheetName val="산출서집계HS"/>
      <sheetName val="검색방"/>
      <sheetName val="일위대가단가표"/>
      <sheetName val="위치"/>
      <sheetName val="목록"/>
      <sheetName val="용선 C.L"/>
      <sheetName val="물량집계표(1c)"/>
      <sheetName val="A1(구조물)"/>
      <sheetName val="A1(토공)"/>
      <sheetName val="철근집계표"/>
      <sheetName val="설치자재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조건표_(2)1"/>
      <sheetName val="입출재고현황_(2)1"/>
      <sheetName val="노무비_근거1"/>
      <sheetName val="6PILE__(돌출)2"/>
      <sheetName val="HRSG_SMALL072202"/>
      <sheetName val="하도내역_(철콘)1"/>
      <sheetName val="준검_내역서2"/>
      <sheetName val="임율_Data1"/>
      <sheetName val="97년_추정2"/>
      <sheetName val="2차전체변경예정_(2)1"/>
      <sheetName val="BSD_(2)1"/>
      <sheetName val="1_설계기준1"/>
      <sheetName val="토공유동표(전체_당초)1"/>
      <sheetName val="목차_1"/>
      <sheetName val="단면_(2)1"/>
      <sheetName val="8_현장관리비1"/>
      <sheetName val="7_안전관리비1"/>
      <sheetName val="7__현장관리비_1"/>
      <sheetName val="1__설계조건_2_단면가정_3__하중계산"/>
      <sheetName val="구조______"/>
      <sheetName val="8_PILE__(돌출)1"/>
      <sheetName val="b_balju_(2)1"/>
      <sheetName val="노무비_"/>
      <sheetName val="현장관리비_산출내역"/>
      <sheetName val="4_일위대가집계"/>
      <sheetName val="내역서_제출"/>
      <sheetName val="실행내역서_"/>
      <sheetName val="간_지1"/>
      <sheetName val="화재_탐지_설비"/>
      <sheetName val="5__현장관리비(new)_"/>
      <sheetName val="Customer_Databas"/>
      <sheetName val="방배동내역_(총괄)"/>
      <sheetName val="1_설계조건"/>
      <sheetName val="중기조종사_단위단가1"/>
      <sheetName val="5__현장관리비_new__"/>
      <sheetName val="Temporary_Mooring"/>
      <sheetName val="A_LINE"/>
      <sheetName val="설내역서_"/>
      <sheetName val="7_PILE__(돌출)"/>
      <sheetName val="2_2_오피스텔(12~32F)"/>
      <sheetName val="일위대가_집계표"/>
      <sheetName val="9_1지하2층하부보"/>
      <sheetName val="Sheet1_(2)"/>
      <sheetName val="단계별내역_(2)"/>
      <sheetName val="2_2_띠장의_설계"/>
      <sheetName val="1_취수장"/>
      <sheetName val="4_LINE"/>
      <sheetName val="7_th"/>
      <sheetName val="_갑지"/>
      <sheetName val="집_계_표"/>
      <sheetName val="총_원가계산"/>
      <sheetName val="6__안전관리비3"/>
      <sheetName val="자__재"/>
      <sheetName val="노원열병합__건축공사기성내역서"/>
      <sheetName val="할증_"/>
      <sheetName val="개인별_순위표"/>
      <sheetName val="CM_1"/>
      <sheetName val="기술부_VENDOR_LIST"/>
      <sheetName val="외주대비_-석축[후다내역_XLS]견적표지_(3"/>
      <sheetName val="4_일위대가"/>
      <sheetName val="플랜트_설치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실행간접비"/>
      <sheetName val="유림총괄"/>
      <sheetName val="단면치수"/>
      <sheetName val="단가 및 재료비"/>
      <sheetName val="단가산출1"/>
      <sheetName val="일일현황"/>
      <sheetName val="Ⅱ1-0타"/>
      <sheetName val="울진항공등화 내역서"/>
      <sheetName val="일 위 대 가 표"/>
      <sheetName val="공사비집계"/>
      <sheetName val="일위목차"/>
      <sheetName val="내역서 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환율"/>
      <sheetName val="PAINT"/>
      <sheetName val="22인공"/>
      <sheetName val="공통단가"/>
      <sheetName val="일일총괄"/>
      <sheetName val="연돌일위집계"/>
      <sheetName val="0226"/>
      <sheetName val="울산"/>
      <sheetName val="Anti"/>
      <sheetName val="Xunit (단위환산)"/>
      <sheetName val="CԀ_x0000_缀"/>
      <sheetName val="벽체면적당일위대가"/>
      <sheetName val="아파트건축"/>
      <sheetName val="선급금신청서"/>
      <sheetName val="목록표"/>
      <sheetName val="eq_dat_x0000_"/>
      <sheetName val="GRD郅≙"/>
      <sheetName val="고창방향"/>
      <sheetName val="영흥TL(UP,DOWN) "/>
      <sheetName val="가로등기초"/>
      <sheetName val="95년12월말"/>
      <sheetName val="맨홀되메우기"/>
      <sheetName val="조명일위"/>
      <sheetName val="맨홀수량산출(A-LINE)"/>
      <sheetName val="콘크리트포장"/>
      <sheetName val="암거난간벽집계(2)"/>
      <sheetName val="적용단가"/>
      <sheetName val="FAB별"/>
      <sheetName val="설계명세"/>
      <sheetName val="임차비용"/>
      <sheetName val="테이블"/>
      <sheetName val="구의동공내역서"/>
      <sheetName val="인력터파기품"/>
      <sheetName val="D1.2 COF모듈자재 입출재고 (B급)"/>
      <sheetName val="갑"/>
      <sheetName val="Sikje_inĴ¾_x0000_"/>
      <sheetName val="본실행경비"/>
      <sheetName val="견적내역"/>
      <sheetName val="설계예시"/>
      <sheetName val="1차3회-개소별명세서-빨간색-인쇄용(21873)"/>
      <sheetName val="소화실적"/>
      <sheetName val="단위별용량계산"/>
      <sheetName val="회사정보"/>
      <sheetName val="표  지"/>
      <sheetName val="양배수장"/>
      <sheetName val="전기일목(조사가)"/>
      <sheetName val="공사내역"/>
      <sheetName val="수목데이타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산출근거(S4)"/>
      <sheetName val="샌딩 에폭시 도장"/>
      <sheetName val="운동장 (2)"/>
      <sheetName val="광통신 견적내역서1"/>
      <sheetName val="잡철물"/>
      <sheetName val="EJ"/>
      <sheetName val="당초"/>
      <sheetName val="실행(표지,갑,을)"/>
      <sheetName val="8)중점관리장비현황"/>
      <sheetName val="단중"/>
      <sheetName val="전체기준Data"/>
      <sheetName val="울산자동제어"/>
      <sheetName val="일반부표"/>
      <sheetName val="형틀공사"/>
      <sheetName val="사통"/>
      <sheetName val="CIP 공사"/>
      <sheetName val="토량1-1"/>
      <sheetName val="수량산출서 갑지"/>
      <sheetName val="DATA 입력부"/>
      <sheetName val="A"/>
      <sheetName val="식재일위"/>
      <sheetName val="직공비"/>
      <sheetName val="NOMUBI"/>
      <sheetName val="sw1"/>
      <sheetName val="Mc1"/>
      <sheetName val="주식"/>
      <sheetName val="배명(단가)"/>
      <sheetName val="물량산출근거"/>
      <sheetName val="유림콘도"/>
      <sheetName val="자재co"/>
      <sheetName val="일위대가 (PM)"/>
      <sheetName val="중기사용료산출근거"/>
      <sheetName val="J"/>
      <sheetName val="실행내역서(DCU)"/>
      <sheetName val="일위(열차무선)"/>
      <sheetName val="GI-LIST"/>
      <sheetName val="중기사용료 (2)"/>
      <sheetName val="설계카드"/>
      <sheetName val="공사설명서"/>
      <sheetName val="공사계획서"/>
      <sheetName val="예산조서"/>
      <sheetName val="99 조정금액"/>
      <sheetName val="주요재료비(원본)"/>
      <sheetName val="산3_4"/>
      <sheetName val="토목-물가"/>
      <sheetName val="목창호"/>
      <sheetName val="동업계매출속보"/>
      <sheetName val="제잡비"/>
      <sheetName val="대가표(품셈)"/>
      <sheetName val="고암DATA"/>
      <sheetName val="GRD⍠も"/>
      <sheetName val="유통간부"/>
      <sheetName val="장기"/>
      <sheetName val="실행(1)"/>
      <sheetName val="외주대비 ᨀ晙ԯ"/>
      <sheetName val="학생내역"/>
      <sheetName val="산출금액내역"/>
      <sheetName val="database"/>
      <sheetName val="Macro(전동기)"/>
      <sheetName val="일반수량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보도내역_(3)1"/>
      <sheetName val="4_내진설계"/>
      <sheetName val="마감사양"/>
      <sheetName val="건축토목실행내역"/>
      <sheetName val="출장내역"/>
      <sheetName val="XL4Poppy"/>
      <sheetName val="10동"/>
      <sheetName val="5사남"/>
      <sheetName val="C-노임단가"/>
      <sheetName val="전계가"/>
      <sheetName val="식재"/>
      <sheetName val="시설물"/>
      <sheetName val="식재출력용"/>
      <sheetName val="유지관리"/>
      <sheetName val="아파트-가설"/>
      <sheetName val="연부97-1"/>
      <sheetName val="SUB일위대가"/>
      <sheetName val="평자재단가"/>
      <sheetName val="방송(체육관)"/>
      <sheetName val="동원(3)"/>
      <sheetName val="측구공"/>
      <sheetName val="시운전연료"/>
      <sheetName val="1.3.1절점좌표"/>
      <sheetName val="1.1설계기준"/>
      <sheetName val="증감분석"/>
      <sheetName val="말고개터널조명전압강하"/>
      <sheetName val="2000.05"/>
      <sheetName val="남양시작동010313100%"/>
      <sheetName val="투찰내역서"/>
      <sheetName val="1_수인터널1"/>
      <sheetName val="AS포장복구_1"/>
      <sheetName val="2_대외공문1"/>
      <sheetName val="설_계1"/>
      <sheetName val="CIP_공사"/>
      <sheetName val="_총괄표"/>
      <sheetName val="인건비_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현장지지물물량"/>
      <sheetName val="입찰내역"/>
      <sheetName val="내역서당초"/>
      <sheetName val="내역서변경성원"/>
      <sheetName val="근로자자료입력"/>
      <sheetName val="참고자료"/>
      <sheetName val="변경후-SHEET"/>
      <sheetName val="1.본부별"/>
      <sheetName val="000000"/>
      <sheetName val="상수도토공집계표"/>
      <sheetName val="기본DATA"/>
      <sheetName val="공통자료"/>
      <sheetName val="안전시설내역서"/>
      <sheetName val="구조물"/>
      <sheetName val="FI원가_1"/>
      <sheetName val="cable-data"/>
      <sheetName val="노무비산출"/>
      <sheetName val="기초입력 DATA"/>
      <sheetName val="#3E1_GCR"/>
      <sheetName val="소소총괄표"/>
      <sheetName val="1공구_건정토건_토공2"/>
      <sheetName val="구단"/>
      <sheetName val="배수문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1_수인터널2"/>
      <sheetName val="AS포장복구_2"/>
      <sheetName val="2_대외공문2"/>
      <sheetName val="설_계2"/>
      <sheetName val="내역(최종본4_5)2"/>
      <sheetName val="Sheet1_(2)1"/>
      <sheetName val="0_0ControlSheet2"/>
      <sheetName val="0_1keyAssumption2"/>
      <sheetName val="부대입찰_내역서1"/>
      <sheetName val="전차선로_물량표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별계약현황('98_10_31)"/>
      <sheetName val="원본"/>
      <sheetName val="EQUIP LIST"/>
      <sheetName val="교각"/>
      <sheetName val="내부마감"/>
      <sheetName val="간접재료비산출표-27-30"/>
      <sheetName val="1안"/>
      <sheetName val="첨부1-1"/>
      <sheetName val="빙설"/>
      <sheetName val="가중치"/>
      <sheetName val="분전반일위대가"/>
      <sheetName val="단양 00 아파트-세부내역"/>
      <sheetName val="상호참고자료"/>
      <sheetName val="발주처자료입력"/>
      <sheetName val="회사기본자료"/>
      <sheetName val="하자보증자료"/>
      <sheetName val="기술자관련자료"/>
      <sheetName val="빙100장비사양"/>
      <sheetName val="본사인상전"/>
      <sheetName val="4.장비손료"/>
      <sheetName val="내역및원가02"/>
      <sheetName val="TYPE1"/>
      <sheetName val="배선(낙차)"/>
      <sheetName val="SF내역및원가02"/>
      <sheetName val="산출기준(파견전산실)"/>
      <sheetName val="정의"/>
      <sheetName val="재활용 악취_먼지DUCT산출"/>
      <sheetName val="항목지정"/>
      <sheetName val="기기리스트"/>
      <sheetName val="시설물기초"/>
      <sheetName val="경비산출"/>
      <sheetName val="다곡2교"/>
      <sheetName val="공정코드"/>
      <sheetName val="현장식당(1)"/>
      <sheetName val="쌍송교"/>
      <sheetName val="입력그림"/>
      <sheetName val="정부노임"/>
      <sheetName val="흄관기초"/>
      <sheetName val="부산제일극장"/>
      <sheetName val="수주현황2월"/>
      <sheetName val="1F"/>
      <sheetName val="NAIL단가산출"/>
      <sheetName val="제거식EA"/>
      <sheetName val="이자율"/>
      <sheetName val="DATA2000"/>
      <sheetName val="5.정산서"/>
      <sheetName val="포장직선구간"/>
      <sheetName val="입력값"/>
      <sheetName val="설계기준 및 하중계산"/>
      <sheetName val="1-1호"/>
      <sheetName val="원내역서 그대로"/>
      <sheetName val="01"/>
      <sheetName val="은행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내역총괄"/>
      <sheetName val="내역총괄2"/>
      <sheetName val="내역총괄3"/>
      <sheetName val="예총"/>
      <sheetName val="1062-X방향 "/>
      <sheetName val="품셈(기초)"/>
      <sheetName val="식재일위대가"/>
      <sheetName val="기초일위대가"/>
      <sheetName val="부대공자재집계표"/>
      <sheetName val="집계표(공종별)"/>
      <sheetName val="현금흐름"/>
      <sheetName val="교통표지판수량집계표"/>
      <sheetName val="작성"/>
      <sheetName val="예정(3)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PROJECT BRIEF"/>
      <sheetName val="969910( R)"/>
      <sheetName val="가시설(TYPE-A)"/>
      <sheetName val="1-1평균터파기고(1)"/>
      <sheetName val="계약서"/>
      <sheetName val="옹벽단면치수"/>
      <sheetName val="관리"/>
      <sheetName val="적정"/>
      <sheetName val="하도"/>
      <sheetName val="별지"/>
      <sheetName val="보링"/>
      <sheetName val="철물"/>
      <sheetName val="철강재"/>
      <sheetName val="합의서"/>
      <sheetName val="포장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공통비"/>
      <sheetName val="VENDOR LIST"/>
      <sheetName val="손익분석"/>
      <sheetName val="대비표"/>
      <sheetName val="제경비율"/>
      <sheetName val="일위대가(통신)"/>
      <sheetName val="주공기준"/>
      <sheetName val="안정검토"/>
      <sheetName val="전도금정산서(27)"/>
      <sheetName val="업체별기성"/>
      <sheetName val="시약"/>
      <sheetName val="사유서제출현황-2"/>
      <sheetName val="FANDBS"/>
      <sheetName val="GRDATA"/>
      <sheetName val="SHAFTDBSE"/>
      <sheetName val="(A)내역서"/>
      <sheetName val="2련간지"/>
      <sheetName val="분뇨"/>
      <sheetName val="06 일위대가목록"/>
      <sheetName val="견적서갑지연속"/>
      <sheetName val="SAMPLE!"/>
      <sheetName val="4_경비_5_영업외수지"/>
      <sheetName val="_견적서"/>
      <sheetName val="장비당단가_(1)"/>
      <sheetName val="Sheet2_(2)"/>
      <sheetName val="광통신_견적내역서1"/>
      <sheetName val="unit_4"/>
      <sheetName val="별표_"/>
      <sheetName val="수_량_명_세_서_-_1"/>
      <sheetName val="2_건축"/>
      <sheetName val="공정표_"/>
      <sheetName val="프라임_강변역(4,236)"/>
      <sheetName val="내___역"/>
      <sheetName val="2000년_공정표"/>
      <sheetName val="5_2코핑"/>
      <sheetName val="P_M_별"/>
      <sheetName val="수량산출서_갑지"/>
      <sheetName val="DATA_입력부"/>
      <sheetName val="UR2-Calculation"/>
      <sheetName val="중기쥰종사 단위단가"/>
      <sheetName val="배명(단가柖"/>
      <sheetName val="일반관리비전체분당초변경대비표"/>
      <sheetName val="사용계획"/>
      <sheetName val="지급수수료월별금액산정"/>
      <sheetName val="공사수행보고"/>
      <sheetName val="BOJUNGGM"/>
      <sheetName val="일반물자(한국통신)"/>
      <sheetName val="108.수선비"/>
      <sheetName val="예산대비"/>
      <sheetName val="2F 회의실견적(5_14 일대)"/>
      <sheetName val="한성교회 신축공사(050713)_CheckList"/>
      <sheetName val="사진"/>
      <sheetName val="Trend(Agitator)"/>
      <sheetName val="L형옹벽"/>
      <sheetName val="포장절단"/>
      <sheetName val="1호맨홀토공"/>
      <sheetName val="Sight n M.H"/>
      <sheetName val="포장수량집계"/>
      <sheetName val="(C)원내역"/>
      <sheetName val="터널조도"/>
      <sheetName val="3차토목내역"/>
      <sheetName val="표층포설및다짐"/>
      <sheetName val="참조-(1)"/>
      <sheetName val="외주가공"/>
      <sheetName val="횡날개수집"/>
      <sheetName val="경비 (1)"/>
      <sheetName val="성서방향-교대(A2)"/>
      <sheetName val="편성절차"/>
      <sheetName val="2002자금수지계획(진행+신규)"/>
      <sheetName val="2변경1"/>
      <sheetName val="중기단가"/>
      <sheetName val="전도품의"/>
      <sheetName val="영동(D)"/>
      <sheetName val="총괄집계 "/>
      <sheetName val="15100"/>
      <sheetName val="산출근거#2-3"/>
      <sheetName val="전국현황"/>
      <sheetName val="상가지급현황"/>
      <sheetName val="배수장토목공사비"/>
      <sheetName val="말뚝기초(안정검토)-외측"/>
      <sheetName val="일위대가-01"/>
      <sheetName val="다중모드"/>
      <sheetName val="도"/>
      <sheetName val="단위수량산출"/>
      <sheetName val="Piping Design Data"/>
      <sheetName val="4 &amp; 10-inch, CO2 Combo &amp; Sweep"/>
      <sheetName val="__MAIN"/>
      <sheetName val="과천MAIN"/>
      <sheetName val="1호맨홀가감수량"/>
      <sheetName val="ilch"/>
      <sheetName val="ASALTOTA"/>
      <sheetName val="용집"/>
      <sheetName val="상행-교대(A1-A2)"/>
      <sheetName val="총수량집계표"/>
      <sheetName val="strut type"/>
      <sheetName val="매출요약(월별) -년간"/>
      <sheetName val="Table"/>
      <sheetName val="미드수량"/>
      <sheetName val="배관물량집계(기본)"/>
      <sheetName val="수문보고"/>
      <sheetName val="옥외"/>
      <sheetName val="工완성공사율"/>
      <sheetName val="1차설계Ꮗԯ_x0000_"/>
      <sheetName val="1차설계逷≙_xdc00_≙"/>
      <sheetName val="-15.0"/>
      <sheetName val="토지산출내역"/>
      <sheetName val="P_x0005_"/>
      <sheetName val="P嘐"/>
      <sheetName val="48_x0005__x0000_"/>
      <sheetName val="울산시산표"/>
      <sheetName val="암거"/>
      <sheetName val="공정표_1"/>
      <sheetName val="장비당단가_(1)1"/>
      <sheetName val="Sheet2_(2)1"/>
      <sheetName val="별표_1"/>
      <sheetName val="2_건축1"/>
      <sheetName val="수_량_명_세_서_-_11"/>
      <sheetName val="DC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현장관리비_산출내역2"/>
      <sheetName val="설내역서_1"/>
      <sheetName val="CIP_공사1"/>
      <sheetName val="2_교량(신설)"/>
      <sheetName val="4_장비손료"/>
      <sheetName val="2000_05"/>
      <sheetName val="1_3_1절점좌표"/>
      <sheetName val="1_1설계기준"/>
      <sheetName val="단양_00_아파트-세부내역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단면설계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소일위대가코드표"/>
      <sheetName val="심사"/>
      <sheetName val="도급내역"/>
      <sheetName val="사  업  비  수  지  예  산  서"/>
      <sheetName val="시가지우회도로공내역서"/>
      <sheetName val="사다리"/>
      <sheetName val="중기일위대밀"/>
      <sheetName val="현금흐름표"/>
      <sheetName val="07제품별수익성"/>
      <sheetName val="총체보활공정표"/>
      <sheetName val="철골공사"/>
      <sheetName val="수장"/>
      <sheetName val="상세도"/>
      <sheetName val="지구단위계획"/>
      <sheetName val="hvac(제어동)"/>
      <sheetName val="공사비예산서"/>
      <sheetName val="FAX"/>
      <sheetName val="Sikje_in_x0005__x0000_"/>
      <sheetName val="판정1교토공"/>
      <sheetName val="월별수입"/>
      <sheetName val="연장및면적(좌측)"/>
      <sheetName val="조인트"/>
      <sheetName val="데리네И̏䨸ɟ"/>
      <sheetName val="변경증감내역서"/>
      <sheetName val="보험료산출"/>
      <sheetName val="자금총괄"/>
      <sheetName val="일대목록표"/>
      <sheetName val="수정계획3"/>
      <sheetName val="__"/>
      <sheetName val="리스트"/>
      <sheetName val="입찰견적보고서"/>
      <sheetName val="배수관연장조서"/>
      <sheetName val="4.예산내역서"/>
      <sheetName val="5.2.6~7공사요율"/>
      <sheetName val="특별땅고르기"/>
      <sheetName val="내역(최종본浳き_x0000__x0000_"/>
      <sheetName val="내역(최종본浳⿢_x0000__x0000_"/>
      <sheetName val="내역(최종본浳ぁ_x0000__x0000_"/>
      <sheetName val="5월건강보험(일용직)"/>
      <sheetName val="04.12월건강보험(일용직)"/>
      <sheetName val="직접공사비"/>
      <sheetName val="inputdata"/>
      <sheetName val="도수로수량산출"/>
      <sheetName val="기존단가 (2)"/>
      <sheetName val="99년원가"/>
      <sheetName val="RD제품개발투자비(매가)"/>
      <sheetName val="외주정비"/>
      <sheetName val="데리네鶈㇨ᓣ"/>
      <sheetName val="보도내 _x0000__x0000_䪾"/>
      <sheetName val="비용"/>
      <sheetName val="O＆P"/>
      <sheetName val="건축공사실행"/>
      <sheetName val="건축원가"/>
      <sheetName val="1차 내역서"/>
      <sheetName val="물량내역서"/>
      <sheetName val="기초목"/>
      <sheetName val="입력데이타(비É"/>
      <sheetName val="외주대비 -석É"/>
      <sheetName val="정산내역"/>
      <sheetName val="투자예산"/>
      <sheetName val="근로자명단2013"/>
      <sheetName val="산출(1~20)"/>
      <sheetName val="신고조서"/>
      <sheetName val="주공 갑지"/>
      <sheetName val="마스터02"/>
      <sheetName val="일반전기"/>
      <sheetName val="7월11일"/>
      <sheetName val="안전장치"/>
      <sheetName val="투자효율분석"/>
      <sheetName val="관급현황"/>
      <sheetName val="기술조건"/>
      <sheetName val="1.내역(청.하역장전등)"/>
      <sheetName val="정화조"/>
      <sheetName val="8월차잔"/>
      <sheetName val="산출"/>
      <sheetName val="예산조서(전송)"/>
      <sheetName val="시설이용권명세서"/>
      <sheetName val="산출0"/>
      <sheetName val="맨홀_공사비"/>
      <sheetName val="기본정보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유통기한 프로그램"/>
      <sheetName val="배부전"/>
      <sheetName val="PAD TR보호대기초"/>
      <sheetName val="4.수량산출서"/>
      <sheetName val="건축일"/>
      <sheetName val="설원"/>
      <sheetName val="기성"/>
      <sheetName val="인건蠉"/>
      <sheetName val="기본자료(실행)"/>
      <sheetName val="제품현황"/>
      <sheetName val="05 유류비자금청구(완)"/>
      <sheetName val="2.원가집계"/>
      <sheetName val="일위목록-기"/>
      <sheetName val="직재"/>
      <sheetName val="grid (1)"/>
      <sheetName val="점ᥰ@띘"/>
      <sheetName val="점ᤠ@띘"/>
      <sheetName val="점៰2띘"/>
      <sheetName val="여흥"/>
      <sheetName val="SPEC"/>
      <sheetName val="10.경제성분석"/>
      <sheetName val="SCH"/>
      <sheetName val="산근(1)"/>
      <sheetName val="장척총괄"/>
      <sheetName val="참고"/>
      <sheetName val="4월예정공정표"/>
      <sheetName val="가격"/>
      <sheetName val="2.1"/>
      <sheetName val="청 구"/>
      <sheetName val="철거폐쇄현황"/>
      <sheetName val="암거(2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검토현황"/>
      <sheetName val="증감내역"/>
      <sheetName val="교각별철근수량집계표"/>
      <sheetName val="출력X"/>
      <sheetName val="6동"/>
      <sheetName val="포장공사"/>
      <sheetName val="통합"/>
      <sheetName val="기계 도급내역서"/>
      <sheetName val="철탑공사"/>
      <sheetName val="경성자금"/>
      <sheetName val="수전기기DATA"/>
      <sheetName val="ETC"/>
      <sheetName val="일위대가1"/>
      <sheetName val="7.전산해석결과"/>
      <sheetName val="4.하중"/>
      <sheetName val="T기성9605"/>
      <sheetName val="비교표"/>
      <sheetName val="kimre scrubber"/>
      <sheetName val="미장"/>
      <sheetName val="PĴ"/>
      <sheetName val="Pꮸ"/>
      <sheetName val="P估"/>
      <sheetName val="quotation"/>
      <sheetName val="기성금내역서"/>
      <sheetName val="MIJIBI"/>
      <sheetName val="내역서(총)"/>
      <sheetName val="TCDB"/>
      <sheetName val=" ｹ-ﾌﾞﾙ"/>
      <sheetName val="01AC"/>
      <sheetName val="문학간접"/>
      <sheetName val="품목"/>
      <sheetName val="전기2005"/>
      <sheetName val="1월"/>
      <sheetName val="세부항목"/>
      <sheetName val="출력자료"/>
      <sheetName val="Balance"/>
      <sheetName val="제안실적sum조회"/>
      <sheetName val="FRP PIPING 일위대가"/>
      <sheetName val="경비공통"/>
      <sheetName val="전체공사"/>
      <sheetName val="내역(가지)"/>
      <sheetName val="신평리 권리자명부"/>
      <sheetName val="수완하도"/>
      <sheetName val="김포내역"/>
      <sheetName val="2004노형교"/>
      <sheetName val="Macro3"/>
      <sheetName val="용수간선"/>
      <sheetName val="평균높이산출근거"/>
      <sheetName val="횡배수관위치조서"/>
      <sheetName val="ESC(K치)"/>
      <sheetName val="도급내역서"/>
      <sheetName val="관리비비계상"/>
      <sheetName val="콘센트신설"/>
      <sheetName val="97 사업추정(WEKI)"/>
      <sheetName val="품종코드"/>
      <sheetName val="CAPVC"/>
      <sheetName val="기초단가일람표"/>
      <sheetName val="태안9)3-2)원내역"/>
      <sheetName val="맨홀"/>
      <sheetName val="JJ"/>
      <sheetName val="인적사항"/>
      <sheetName val="납부서"/>
      <sheetName val="견적颙⿬_x0005_"/>
      <sheetName val="견적颙⿶_x0005_"/>
      <sheetName val="견적_x0005__x0000_"/>
      <sheetName val="견적叐E吜"/>
      <sheetName val="견적颙』_x0005_"/>
      <sheetName val="EACT10"/>
      <sheetName val="차선"/>
      <sheetName val="차조서"/>
      <sheetName val="L형옹벽(key)"/>
      <sheetName val="자재비"/>
      <sheetName val="기초공"/>
      <sheetName val="흄관기鬀"/>
      <sheetName val="토  공"/>
      <sheetName val="신규단가산출"/>
      <sheetName val="날개벽(좌,우=45도,75도)"/>
      <sheetName val="죽원1교"/>
      <sheetName val="참조자료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GC산출"/>
      <sheetName val="공사개요-C"/>
      <sheetName val="일위수량"/>
      <sheetName val="Macro4"/>
      <sheetName val="PTVT (MAU)"/>
      <sheetName val="간이연락"/>
      <sheetName val="제수"/>
      <sheetName val="공기"/>
      <sheetName val="함열량 db"/>
      <sheetName val="tra-vat-lieu"/>
      <sheetName val="고객사 관리 코드"/>
      <sheetName val="125x125"/>
      <sheetName val="ELECTR蔨ũ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Sheet17"/>
      <sheetName val="경율산정.XLS"/>
      <sheetName val="예산"/>
      <sheetName val="전도금청구서"/>
      <sheetName val="2월"/>
      <sheetName val="Cable임피던스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구조______1"/>
      <sheetName val="노무비_1"/>
      <sheetName val="화재_탐지_설비1"/>
      <sheetName val="Customer_Databas1"/>
      <sheetName val="4_LINE1"/>
      <sheetName val="7_th1"/>
      <sheetName val="_갑지1"/>
      <sheetName val="4_경비_5_영업외수지1"/>
      <sheetName val="_견적서1"/>
      <sheetName val="4_일위대가집계1"/>
      <sheetName val="내역서_제출1"/>
      <sheetName val="A_LINE1"/>
      <sheetName val="5__현장관리비(new)_1"/>
      <sheetName val="할증_1"/>
      <sheetName val="방배동내역_(총괄)1"/>
      <sheetName val="간_지11"/>
      <sheetName val="5__현장관리비_new__1"/>
      <sheetName val="Temporary_Mooring1"/>
      <sheetName val="7_PILE__(돌출)1"/>
      <sheetName val="총_원가계산1"/>
      <sheetName val="광통신_견적내역서11"/>
      <sheetName val="unit_41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P_M_별1"/>
      <sheetName val="수량산출서_갑지1"/>
      <sheetName val="DATA_입력부1"/>
      <sheetName val="일위대가_(PM)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원내역서_그대로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PROJECT_BRIEF"/>
      <sheetName val="①idea_pipeline"/>
      <sheetName val="IMP_통일양식"/>
      <sheetName val="LYS_통일양식"/>
      <sheetName val="Xunit_(단위환산)"/>
      <sheetName val="유통기한_프로그램"/>
      <sheetName val="TOSHIBA-Structure"/>
      <sheetName val="NOTE"/>
      <sheetName val="Div26 - Elect"/>
      <sheetName val="SITE-E"/>
      <sheetName val="Prelims"/>
      <sheetName val="Rate"/>
      <sheetName val="chiettinh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97년_추정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단가_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수목데이타_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내역서_(2)"/>
      <sheetName val="전화공사_공량_및_집계표"/>
      <sheetName val="참조_(2)"/>
      <sheetName val="6__직접경비"/>
      <sheetName val="대가_(보완)"/>
      <sheetName val="3_자재비(총괄)"/>
      <sheetName val="5호광장_(만점)1"/>
      <sheetName val="인천국제_(만점)_(2)1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108_수선비"/>
      <sheetName val="전선_및_전선관"/>
      <sheetName val="VENDOR_LIST"/>
      <sheetName val="2_1외주"/>
      <sheetName val="2_3노무"/>
      <sheetName val="2_4자재"/>
      <sheetName val="2_2장비"/>
      <sheetName val="2_5경비"/>
      <sheetName val="2_6수목대"/>
      <sheetName val="3련_BOX"/>
      <sheetName val="경비_(1)"/>
      <sheetName val="2F_회의실견적(5_14_일대)"/>
      <sheetName val="설계기준_및_하중계산"/>
      <sheetName val="Sight_n_M_H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총괄집계_"/>
      <sheetName val="고객사_관리_코드"/>
      <sheetName val="한성교회_신축공사(050713)_CheckList"/>
      <sheetName val="Parem"/>
      <sheetName val="THVT"/>
      <sheetName val="cong thuc tinh chi tiet"/>
      <sheetName val="00000000"/>
      <sheetName val="Quantity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Eq__Mobilization3"/>
      <sheetName val="원가계산_(2)3"/>
      <sheetName val="1_설계조건3"/>
      <sheetName val="노원열병합__건축공사기성내역서3"/>
      <sheetName val="플랜트_설치3"/>
      <sheetName val="콤보박스와_리스트박스의_연결3"/>
      <sheetName val="설내역서_2"/>
      <sheetName val="CIP_공사2"/>
      <sheetName val="2_교량(신설)1"/>
      <sheetName val="EQUIP_LIST1"/>
      <sheetName val="2000_051"/>
      <sheetName val="1_3_1절점좌표1"/>
      <sheetName val="1_1설계기준1"/>
      <sheetName val="1_본부별1"/>
      <sheetName val="기초입력_DATA1"/>
      <sheetName val="재활용_악취_먼지DUCT산출1"/>
      <sheetName val="5_정산서1"/>
      <sheetName val="4_장비손료1"/>
      <sheetName val="단양_00_아파트-세부내역1"/>
      <sheetName val="단가_및_재료비"/>
      <sheetName val="업무처리전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strut_type"/>
      <sheetName val="FRP_PIPING_일위대가"/>
      <sheetName val="48"/>
      <sheetName val="Khoi luong"/>
      <sheetName val="LEGEND"/>
      <sheetName val="DonGia chetao"/>
      <sheetName val="DonGia VatTuLK"/>
      <sheetName val="표지_(3)4"/>
      <sheetName val="표지_(2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내역(최종본4_5)5"/>
      <sheetName val="1_수인터널5"/>
      <sheetName val="설_계5"/>
      <sheetName val="입출재고현황_(2)4"/>
      <sheetName val="6PILE__(돌출)5"/>
      <sheetName val="2_대외공문5"/>
      <sheetName val="AS포장복구_5"/>
      <sheetName val="6__안전관리비6"/>
      <sheetName val="HRSG_SMALL072204"/>
      <sheetName val="교각토공__2_4"/>
      <sheetName val="3_공통공사대비4"/>
      <sheetName val="97년_추정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1_설계기준3"/>
      <sheetName val="BSD_(2)4"/>
      <sheetName val="2차전체변경예정_(2)3"/>
      <sheetName val="단면_(2)3"/>
      <sheetName val="1_취수장4"/>
      <sheetName val="8_PILE__(돌출)3"/>
      <sheetName val="토공유동표(전체_당초)3"/>
      <sheetName val="1__설계조건_2_단면가정_3__하중계산4"/>
      <sheetName val="DATA_입력란4"/>
      <sheetName val="구조______2"/>
      <sheetName val="현장관리비_산출내역4"/>
      <sheetName val="b_balju_(2)3"/>
      <sheetName val="노무비_2"/>
      <sheetName val="화재_탐지_설비2"/>
      <sheetName val="Customer_Databas2"/>
      <sheetName val="실행내역서_4"/>
      <sheetName val="4_LINE2"/>
      <sheetName val="7_th2"/>
      <sheetName val="_갑지2"/>
      <sheetName val="0_0ControlSheet5"/>
      <sheetName val="0_1keyAssumption5"/>
      <sheetName val="4_내진설계4"/>
      <sheetName val="Sheet1_(2)4"/>
      <sheetName val="4_경비_5_영업외수지2"/>
      <sheetName val="_견적서2"/>
      <sheetName val="4_일위대가집계2"/>
      <sheetName val="1_설계조건4"/>
      <sheetName val="내역서_제출2"/>
      <sheetName val="A_LINE2"/>
      <sheetName val="장비당단가_(1)3"/>
      <sheetName val="Sheet2_(2)3"/>
      <sheetName val="96보완계획7_124"/>
      <sheetName val="전차선로_물량표4"/>
      <sheetName val="부대입찰_내역서4"/>
      <sheetName val="3BL공동구_수량4"/>
      <sheetName val="노원열병합__건축공사기성내역서4"/>
      <sheetName val="_총괄표4"/>
      <sheetName val="2_고용보험료산출근거4"/>
      <sheetName val="제잡비_xls4"/>
      <sheetName val="인건비_4"/>
      <sheetName val="콤보박스와_리스트박스의_연결4"/>
      <sheetName val="현장별계약현황('98_10_31)4"/>
      <sheetName val="토공(우물통,기타)_4"/>
      <sheetName val="플랜트_설치4"/>
      <sheetName val="원가계산_(2)4"/>
      <sheetName val="Eq__Mobilization4"/>
      <sheetName val="2000년_공정표2"/>
      <sheetName val="수_량_명_세_서_-_13"/>
      <sheetName val="광통신_견적내역서12"/>
      <sheetName val="할증_2"/>
      <sheetName val="unit_42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5_2코핑2"/>
      <sheetName val="배수공_시멘트_및_골재량_산출2"/>
      <sheetName val="7_PILE__(돌출)2"/>
      <sheetName val="P_M_별2"/>
      <sheetName val="CIP_공사3"/>
      <sheetName val="수량산출서_갑지2"/>
      <sheetName val="DATA_입력부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일위대가_(PM)1"/>
      <sheetName val="2_교량(신설)2"/>
      <sheetName val="EQUIP_LIST2"/>
      <sheetName val="2_2_오피스텔(12~32F)2"/>
      <sheetName val="일위대가_집계표2"/>
      <sheetName val="중기쥰종사_단위단가1"/>
      <sheetName val="6__안전관리비7"/>
      <sheetName val="자__재2"/>
      <sheetName val="개인별_순위표2"/>
      <sheetName val="CM_12"/>
      <sheetName val="기술부_VENDOR_LIST2"/>
      <sheetName val="단계별내역_(2)2"/>
      <sheetName val="제출내역_(2)2"/>
      <sheetName val="2_2_띠장의_설계2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PTVT_(MAU)1"/>
      <sheetName val="STEEL_BOX_단면설계(SEC_8)1"/>
      <sheetName val="6_이토처리시간1"/>
      <sheetName val="울진항공등화_내역서1"/>
      <sheetName val="영흥TL(UP,DOWN)_1"/>
      <sheetName val="일_위_대_가_표1"/>
      <sheetName val="1차_내역서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수목데이타_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내역서_(2)1"/>
      <sheetName val="전화공사_공량_및_집계표1"/>
      <sheetName val="참조_(2)1"/>
      <sheetName val="6__직접경비1"/>
      <sheetName val="대가_(보완)1"/>
      <sheetName val="3_자재비(총괄)1"/>
      <sheetName val="5호광장_(만점)2"/>
      <sheetName val="인천국제_(만점)_(2)2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전선_및_전선관1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Div26_-_Elect"/>
      <sheetName val="Sight_n_M_H1"/>
      <sheetName val="매출요약(월별)_-년간1"/>
      <sheetName val="Piping_Design_Data1"/>
      <sheetName val="4_&amp;_10-inch,_CO2_Combo_&amp;_Sweep1"/>
      <sheetName val="설계기준_및_하중계산1"/>
      <sheetName val="1_䷨수장1"/>
      <sheetName val="4_뀴진설Ⳅ1"/>
      <sheetName val="전䰨선로_물량표1"/>
      <sheetName val="㶀대입찰_내역서1"/>
      <sheetName val="모선자재_집계표"/>
      <sheetName val="재료의_할증"/>
      <sheetName val="총괄집계_1"/>
      <sheetName val="kimre_scrubber1"/>
      <sheetName val="strut_type1"/>
      <sheetName val="한성교회_신축공사(050713)_CheckList1"/>
      <sheetName val="FRP_PIPING_일위대가1"/>
      <sheetName val="단가_및_재료비1"/>
      <sheetName val="내역서_"/>
      <sheetName val="함열량_db"/>
      <sheetName val="10_경제성분석"/>
      <sheetName val="기계_도급내역서"/>
      <sheetName val="-15_0"/>
      <sheetName val="고객사_관리_코드1"/>
      <sheetName val="사__업__비__수__지__예__산__서"/>
      <sheetName val="1차설계逷≙≙"/>
      <sheetName val="표__지"/>
      <sheetName val="D1_2_COF모듈자재_입출재고_(B급)"/>
      <sheetName val="cong_thuc_tinh_chi_tiet"/>
      <sheetName val="공내역_및_견적조건"/>
      <sheetName val="2_1"/>
      <sheetName val="Bảng_mã_VT"/>
      <sheetName val="Khoi_luong"/>
      <sheetName val="DonGia_chetao"/>
      <sheetName val="DonGia_VatTuLK"/>
      <sheetName val="표지_(3)5"/>
      <sheetName val="표지_(2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내역(최종본4_5)6"/>
      <sheetName val="1_수인터널6"/>
      <sheetName val="설_계6"/>
      <sheetName val="입출재고현황_(2)5"/>
      <sheetName val="6PILE__(돌출)6"/>
      <sheetName val="2_대외공문6"/>
      <sheetName val="AS포장복구_6"/>
      <sheetName val="6__안전관리비8"/>
      <sheetName val="HRSG_SMALL072205"/>
      <sheetName val="교각토공__2_5"/>
      <sheetName val="3_공통공사대비5"/>
      <sheetName val="97년_추정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1_설계기준4"/>
      <sheetName val="BSD_(2)5"/>
      <sheetName val="2차전체변경예정_(2)4"/>
      <sheetName val="단면_(2)4"/>
      <sheetName val="1_취수장5"/>
      <sheetName val="8_PILE__(돌출)4"/>
      <sheetName val="토공유동표(전체_당초)4"/>
      <sheetName val="1__설계조건_2_단면가정_3__하중계산5"/>
      <sheetName val="DATA_입력란5"/>
      <sheetName val="구조______3"/>
      <sheetName val="현장관리비_산출내역5"/>
      <sheetName val="b_balju_(2)4"/>
      <sheetName val="노무비_3"/>
      <sheetName val="화재_탐지_설비3"/>
      <sheetName val="Customer_Databas3"/>
      <sheetName val="실행내역서_5"/>
      <sheetName val="4_LINE3"/>
      <sheetName val="7_th3"/>
      <sheetName val="_갑지3"/>
      <sheetName val="0_0ControlSheet6"/>
      <sheetName val="0_1keyAssumption6"/>
      <sheetName val="4_내진설계5"/>
      <sheetName val="Sheet1_(2)5"/>
      <sheetName val="4_경비_5_영업외수지3"/>
      <sheetName val="_견적서3"/>
      <sheetName val="4_일위대가집계3"/>
      <sheetName val="1_설계조건5"/>
      <sheetName val="내역서_제출3"/>
      <sheetName val="A_LINE3"/>
      <sheetName val="장비당단가_(1)4"/>
      <sheetName val="Sheet2_(2)4"/>
      <sheetName val="96보완계획7_125"/>
      <sheetName val="전차선로_물량표5"/>
      <sheetName val="부대입찰_내역서5"/>
      <sheetName val="3BL공동구_수량5"/>
      <sheetName val="노원열병합__건축공사기성내역서5"/>
      <sheetName val="_총괄표5"/>
      <sheetName val="2_고용보험료산출근거5"/>
      <sheetName val="제잡비_xls5"/>
      <sheetName val="인건비_5"/>
      <sheetName val="콤보박스와_리스트박스의_연결5"/>
      <sheetName val="현장별계약현황('98_10_31)5"/>
      <sheetName val="토공(우물통,기타)_5"/>
      <sheetName val="플랜트_설치5"/>
      <sheetName val="원가계산_(2)5"/>
      <sheetName val="Eq__Mobilization5"/>
      <sheetName val="2000년_공정표3"/>
      <sheetName val="수_량_명_세_서_-_14"/>
      <sheetName val="광통신_견적내역서13"/>
      <sheetName val="할증_3"/>
      <sheetName val="unit_43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5_2코핑3"/>
      <sheetName val="배수공_시멘트_및_골재량_산출3"/>
      <sheetName val="7_PILE__(돌출)3"/>
      <sheetName val="P_M_별3"/>
      <sheetName val="CIP_공사4"/>
      <sheetName val="수량산출서_갑지3"/>
      <sheetName val="DATA_입력부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일위대가_(PM)2"/>
      <sheetName val="2_교량(신설)3"/>
      <sheetName val="EQUIP_LIST3"/>
      <sheetName val="2_2_오피스텔(12~32F)3"/>
      <sheetName val="일위대가_집계표3"/>
      <sheetName val="중기쥰종사_단위단가2"/>
      <sheetName val="6__안전관리비9"/>
      <sheetName val="자__재3"/>
      <sheetName val="개인별_순위표3"/>
      <sheetName val="CM_13"/>
      <sheetName val="기술부_VENDOR_LIST3"/>
      <sheetName val="단계별내역_(2)3"/>
      <sheetName val="제출내역_(2)3"/>
      <sheetName val="2_2_띠장의_설계3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PTVT_(MAU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STEEL_BOX_단면설계(SEC_8)2"/>
      <sheetName val="6_이토처리시간2"/>
      <sheetName val="울진항공등화_내역서2"/>
      <sheetName val="영흥TL(UP,DOWN)_2"/>
      <sheetName val="일_위_대_가_표2"/>
      <sheetName val="1차_내역서2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MP_MOB2"/>
      <sheetName val="명일작업계획_(3)2"/>
      <sheetName val="Div26_-_Elect1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수목데이타_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내역서_(2)2"/>
      <sheetName val="전화공사_공량_및_집계표2"/>
      <sheetName val="참조_(2)2"/>
      <sheetName val="6__직접경비2"/>
      <sheetName val="대가_(보완)2"/>
      <sheetName val="3_자재비(총괄)2"/>
      <sheetName val="5호광장_(만점)3"/>
      <sheetName val="인천국제_(만점)_(2)3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전선_및_전선관2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Sight_n_M_H2"/>
      <sheetName val="매출요약(월별)_-년간2"/>
      <sheetName val="Piping_Design_Data2"/>
      <sheetName val="4_&amp;_10-inch,_CO2_Combo_&amp;_Sweep2"/>
      <sheetName val="설계기준_및_하중계산2"/>
      <sheetName val="1_䷨수장2"/>
      <sheetName val="4_뀴진설Ⳅ2"/>
      <sheetName val="전䰨선로_물량표2"/>
      <sheetName val="㶀대입찰_내역서2"/>
      <sheetName val="모선자재_집계표1"/>
      <sheetName val="재료의_할증1"/>
      <sheetName val="총괄집계_2"/>
      <sheetName val="kimre_scrubber2"/>
      <sheetName val="strut_type2"/>
      <sheetName val="한성교회_신축공사(050713)_CheckList2"/>
      <sheetName val="FRP_PIPING_일위대가2"/>
      <sheetName val="단가_및_재료비2"/>
      <sheetName val="내역서_1"/>
      <sheetName val="함열량_db1"/>
      <sheetName val="10_경제성분석1"/>
      <sheetName val="기계_도급내역서1"/>
      <sheetName val="-15_01"/>
      <sheetName val="고객사_관리_코드2"/>
      <sheetName val="사__업__비__수__지__예__산__서1"/>
      <sheetName val="표__지1"/>
      <sheetName val="D1_2_COF모듈자재_입출재고_(B급)1"/>
      <sheetName val="cong_thuc_tinh_chi_tiet1"/>
      <sheetName val="공내역_및_견적조건1"/>
      <sheetName val="2_11"/>
      <sheetName val="Bảng_mã_VT1"/>
      <sheetName val="Khoi_luong1"/>
      <sheetName val="DonGia_chetao1"/>
      <sheetName val="DonGia_VatTuLK1"/>
      <sheetName val="Level-DATA"/>
      <sheetName val="Fr Revit"/>
      <sheetName val="NSA Summary"/>
      <sheetName val="FitOutConfCentre"/>
      <sheetName val="Fr_Revit"/>
      <sheetName val="NSA_Summary"/>
      <sheetName val="Fr_Revit1"/>
      <sheetName val="NSA_Summary1"/>
      <sheetName val="계림(함평)"/>
      <sheetName val="계림(장성)"/>
      <sheetName val="chitiet"/>
      <sheetName val="cable산출"/>
      <sheetName val="Summary"/>
      <sheetName val="H. MECHANICAL"/>
      <sheetName val="J. FIRE FIGHTING"/>
      <sheetName val="MECHANICAL"/>
      <sheetName val="시험연구비상각"/>
      <sheetName val="SEX"/>
      <sheetName val="入力作成表"/>
      <sheetName val="Gia VLNCMTC"/>
      <sheetName val="1_MV"/>
      <sheetName val="IBASE"/>
      <sheetName val="MTC"/>
      <sheetName val="gVL"/>
      <sheetName val="外構・目次"/>
      <sheetName val="工場棟・目次"/>
      <sheetName val="事務棟・目次"/>
      <sheetName val="산출내력"/>
      <sheetName val="내역서-설비"/>
      <sheetName val="흥양2교토_x0000_h曘ʹ"/>
      <sheetName val="흥양2교토_x0000__x0000__x0005__x0000_"/>
      <sheetName val="단가多〒_x0005_"/>
      <sheetName val="샌딩_에폭시_도장"/>
      <sheetName val="견적대비"/>
      <sheetName val="특기시방서"/>
      <sheetName val="안양동교 1안"/>
      <sheetName val="전기일위목록"/>
      <sheetName val="전문품의"/>
      <sheetName val="3BL공동구_x0000__x0000_Ԁ"/>
      <sheetName val="새공통"/>
      <sheetName val="공사명입력"/>
      <sheetName val="GiaVT"/>
      <sheetName val="Q'ty"/>
      <sheetName val="chi tiet"/>
      <sheetName val="PPC Summary"/>
      <sheetName val="Worshop"/>
      <sheetName val="ac"/>
      <sheetName val="LPG"/>
      <sheetName val="3.단가산출서"/>
      <sheetName val="4.단가산출기초"/>
      <sheetName val="Sikje_in"/>
      <sheetName val="청_구"/>
      <sheetName val="7_전산해석결과"/>
      <sheetName val="4_하중"/>
      <sheetName val="chi_tiet"/>
      <sheetName val="PPC_Summary"/>
      <sheetName val="외주대비_ᨀ晙ԯ"/>
      <sheetName val="䣐"/>
      <sheetName val="외주대비 -석축_x0000__x0000__x0000__x"/>
      <sheetName val="_IL-3.XLSY갑지"/>
      <sheetName val="_IL-3_XLSY갑지"/>
      <sheetName val="외주대비_-석축_후다내역_XLS_견적표지_(3"/>
      <sheetName val="_IL-3_XLSY갑지1"/>
      <sheetName val="_IL-3_XLSY갑지2"/>
      <sheetName val="_IL-3_XLSY갑지3"/>
      <sheetName val="공사추진현황"/>
      <sheetName val="급여병적자료"/>
      <sheetName val="개략"/>
      <sheetName val="2월분"/>
      <sheetName val="단가(기자재)"/>
      <sheetName val="인부노임"/>
      <sheetName val="99_조정금액"/>
      <sheetName val="_ｹ-ﾌﾞﾙ"/>
      <sheetName val="신평리_권리자명부"/>
      <sheetName val="97_사업추정(WEKI)"/>
      <sheetName val="견적颙⿬"/>
      <sheetName val="견적颙⿶"/>
      <sheetName val="견적"/>
      <sheetName val="견적颙』"/>
      <sheetName val="토__공"/>
      <sheetName val="중기사용료_(2)"/>
      <sheetName val="주공_갑지"/>
      <sheetName val="운동장_(2)"/>
      <sheetName val="5_2_6~7공사요율"/>
      <sheetName val="06_일위대가목록"/>
      <sheetName val="04_12월건강보험(일용직)"/>
      <sheetName val="외주대비_-석É"/>
      <sheetName val="보도내_䪾"/>
      <sheetName val="2_원가집계"/>
      <sheetName val="기존단가_(2)"/>
      <sheetName val="자동제_x0000_"/>
      <sheetName val="1.관로"/>
      <sheetName val="입찰품_x0005__x0000_"/>
      <sheetName val="입찰품誀걜"/>
      <sheetName val="입찰품紴"/>
      <sheetName val="일위노임"/>
      <sheetName val="SP-¬_x0000_"/>
      <sheetName val="변경비⣗鼏휂"/>
      <sheetName val="서∼군(2寅"/>
      <sheetName val="도급표지É_x0000__x0000__x0001_Ԁ"/>
      <sheetName val="CԀ"/>
      <sheetName val="Sikje_in_x0005_"/>
      <sheetName val="자재기성 신청서.xlsx"/>
      <sheetName val="99년하반기"/>
      <sheetName val="1.설계설명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/>
      <sheetData sheetId="969"/>
      <sheetData sheetId="970"/>
      <sheetData sheetId="971" refreshError="1"/>
      <sheetData sheetId="972"/>
      <sheetData sheetId="973" refreshError="1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/>
      <sheetData sheetId="1334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/>
      <sheetData sheetId="2340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 refreshError="1"/>
      <sheetData sheetId="2780" refreshError="1"/>
      <sheetData sheetId="2781"/>
      <sheetData sheetId="2782"/>
      <sheetData sheetId="2783" refreshError="1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 refreshError="1"/>
      <sheetData sheetId="3488" refreshError="1"/>
      <sheetData sheetId="3489" refreshError="1"/>
      <sheetData sheetId="3490" refreshError="1"/>
      <sheetData sheetId="3491"/>
      <sheetData sheetId="3492"/>
      <sheetData sheetId="3493"/>
      <sheetData sheetId="3494"/>
      <sheetData sheetId="3495" refreshError="1"/>
      <sheetData sheetId="3496" refreshError="1"/>
      <sheetData sheetId="3497"/>
      <sheetData sheetId="3498"/>
      <sheetData sheetId="3499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/>
      <sheetData sheetId="3527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/>
      <sheetData sheetId="3538"/>
      <sheetData sheetId="3539"/>
      <sheetData sheetId="3540"/>
      <sheetData sheetId="3541"/>
      <sheetData sheetId="3542"/>
      <sheetData sheetId="3543"/>
      <sheetData sheetId="3544" refreshError="1"/>
      <sheetData sheetId="3545"/>
      <sheetData sheetId="3546" refreshError="1"/>
      <sheetData sheetId="3547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/>
      <sheetData sheetId="3559"/>
      <sheetData sheetId="3560"/>
      <sheetData sheetId="356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/>
      <sheetData sheetId="3570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노임단가"/>
      <sheetName val="집계표"/>
      <sheetName val="수량산출서"/>
      <sheetName val="2000년1차"/>
      <sheetName val="2000전체분"/>
      <sheetName val="교통대책내역"/>
      <sheetName val="조명율표"/>
      <sheetName val="조경일람"/>
      <sheetName val="투찰내역"/>
      <sheetName val="간접1"/>
      <sheetName val="조명일위"/>
      <sheetName val="단가일람"/>
      <sheetName val="부대공사비"/>
      <sheetName val="Total 단위경유량집계"/>
      <sheetName val="내역서"/>
      <sheetName val="99총공사내역서"/>
      <sheetName val="퍼스트"/>
      <sheetName val="차액보증"/>
      <sheetName val="BID"/>
      <sheetName val="정부노임단가"/>
      <sheetName val="#REF"/>
      <sheetName val="SLAB데이터"/>
      <sheetName val="실행내역"/>
      <sheetName val="노임"/>
      <sheetName val="접지수량"/>
      <sheetName val="약품공급2"/>
      <sheetName val="건축내역"/>
      <sheetName val="C1ㅇ"/>
      <sheetName val="단가"/>
      <sheetName val="하남내역"/>
      <sheetName val="지질조사"/>
      <sheetName val="기계경비(시간당)"/>
      <sheetName val="CALCULATION"/>
      <sheetName val="전체제잡비"/>
      <sheetName val="RE9604"/>
      <sheetName val="MOTOR"/>
      <sheetName val="원가계산서"/>
      <sheetName val="마산월령동골조물량변경"/>
      <sheetName val="산근"/>
      <sheetName val="DB"/>
      <sheetName val="sheet1"/>
      <sheetName val="제경비"/>
      <sheetName val="내역(원안-대안)"/>
      <sheetName val="실행철강하도"/>
      <sheetName val="1,2공구원가계산서"/>
      <sheetName val="2공구산출내역"/>
      <sheetName val="1공구산출내역서"/>
      <sheetName val="준검 내역서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조명시설"/>
      <sheetName val="DANGA"/>
      <sheetName val="일위대가"/>
      <sheetName val="설계조건"/>
      <sheetName val="N賃率-職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금액내역서"/>
      <sheetName val="내역서(전기)"/>
      <sheetName val="교각1"/>
      <sheetName val="항목(1)"/>
      <sheetName val="총괄표"/>
      <sheetName val="일위목록"/>
      <sheetName val="요율"/>
      <sheetName val="기계경비일람"/>
      <sheetName val="기본단가표"/>
      <sheetName val="재료집계표"/>
      <sheetName val="1.수인터널"/>
      <sheetName val="자재일람"/>
      <sheetName val="총공사내역서"/>
      <sheetName val="SIL98"/>
      <sheetName val="5회토적"/>
      <sheetName val="설비2차"/>
      <sheetName val="단위단가"/>
      <sheetName val="잡철물"/>
      <sheetName val="관급"/>
      <sheetName val="ABUT수량-A1"/>
      <sheetName val="일반공사"/>
      <sheetName val="BH-1 (2)"/>
      <sheetName val="표  지"/>
      <sheetName val="직노"/>
      <sheetName val="전기내역서(총계)"/>
      <sheetName val="직공비"/>
      <sheetName val="산출근거"/>
      <sheetName val="공사비예산서(토목분)"/>
      <sheetName val="견적조건"/>
      <sheetName val="대포2교접속"/>
      <sheetName val="천방교접속"/>
      <sheetName val="예산서"/>
      <sheetName val="내역(중앙)"/>
      <sheetName val="I.설계조건"/>
      <sheetName val="ITEM"/>
      <sheetName val="실행(1)"/>
      <sheetName val="현장설명"/>
      <sheetName val="제안서"/>
      <sheetName val="행정표준(1)"/>
      <sheetName val="행정표준(2)"/>
      <sheetName val="금융비용"/>
      <sheetName val="공문"/>
      <sheetName val="자료"/>
      <sheetName val="작성방법"/>
      <sheetName val="hvac(제어동)"/>
      <sheetName val="4.전기"/>
      <sheetName val="현장지지물물량"/>
      <sheetName val="관리비비계상"/>
      <sheetName val="도급"/>
      <sheetName val="총괄내역서"/>
      <sheetName val="분전반"/>
      <sheetName val="단가산출서"/>
      <sheetName val="이형관"/>
      <sheetName val="DATA"/>
      <sheetName val="을-ATYPE"/>
      <sheetName val="제1호단위수량"/>
      <sheetName val="예가내역서"/>
      <sheetName val="전기"/>
      <sheetName val="자재단가비교표"/>
      <sheetName val="결재갑지"/>
      <sheetName val="조도계산서 (도서)"/>
      <sheetName val="단가대비표"/>
      <sheetName val="기초일위"/>
      <sheetName val="시설일위"/>
      <sheetName val="경비2내역"/>
      <sheetName val="세부내역"/>
      <sheetName val="운반"/>
      <sheetName val="초기화면"/>
      <sheetName val="폐기물"/>
      <sheetName val="노원열병합  건축공사기성내역서"/>
      <sheetName val="증감내역서"/>
      <sheetName val="참조-(1)"/>
      <sheetName val="원가계산서구조조정"/>
      <sheetName val="오저간내역서"/>
      <sheetName val="터파기및재료"/>
      <sheetName val="인원계획"/>
      <sheetName val="타공종이기"/>
      <sheetName val="코드표"/>
      <sheetName val="1.설계조건"/>
      <sheetName val="여수토토적"/>
      <sheetName val="구조물수량집계표"/>
      <sheetName val="사업전망"/>
      <sheetName val="현장업무"/>
      <sheetName val="PIPING"/>
      <sheetName val="MSS 2"/>
      <sheetName val="전주2本1"/>
      <sheetName val="신호등일위대가"/>
      <sheetName val="프로젝트"/>
      <sheetName val="보증수수료산출"/>
      <sheetName val="도급-집계"/>
      <sheetName val="을"/>
      <sheetName val="2.1  노무비 평균단가산출"/>
      <sheetName val="경비"/>
      <sheetName val="데이타"/>
      <sheetName val="산출내역서"/>
      <sheetName val="앉음벽 (2)"/>
      <sheetName val="6호기"/>
      <sheetName val="001"/>
      <sheetName val="일반부표"/>
      <sheetName val="ancillary"/>
      <sheetName val="우수관매설및 우수받이"/>
      <sheetName val="접지1종"/>
      <sheetName val="조경"/>
      <sheetName val="문학간접"/>
      <sheetName val="명세서"/>
      <sheetName val="A-4"/>
      <sheetName val="대비"/>
      <sheetName val="제출내역 (2)"/>
      <sheetName val="인부노임"/>
      <sheetName val="전체"/>
      <sheetName val="I一般比"/>
      <sheetName val="대전21토목내역서"/>
      <sheetName val="말뚝지지력산정"/>
      <sheetName val="Sheet3"/>
      <sheetName val="일위대가표"/>
      <sheetName val="예산변경원인분석"/>
      <sheetName val="내역_ver1.0"/>
      <sheetName val="적용표"/>
      <sheetName val="설계내역서"/>
      <sheetName val="재료비"/>
      <sheetName val="보고서 기기리스트"/>
      <sheetName val="간접(90)"/>
      <sheetName val="3련 BOX"/>
      <sheetName val="단가산출"/>
      <sheetName val="품셈"/>
      <sheetName val="토목주소"/>
      <sheetName val="참조"/>
      <sheetName val="간접비계산"/>
      <sheetName val="98지급계획"/>
      <sheetName val="할증"/>
      <sheetName val="적용단가"/>
      <sheetName val="분뇨"/>
      <sheetName val="내역(창신)"/>
      <sheetName val="Resource2"/>
      <sheetName val="현장관리비"/>
      <sheetName val="상-교대(A1-A2)"/>
      <sheetName val="설계서(7)"/>
      <sheetName val="예산서(6)"/>
      <sheetName val="소야공정계획표"/>
      <sheetName val="배수내역"/>
      <sheetName val="배수내역 (2)"/>
      <sheetName val="측구터파기공수량집계"/>
      <sheetName val="배수공 시멘트 및 골재량 산출"/>
      <sheetName val="신림자금"/>
      <sheetName val="횡배위치"/>
      <sheetName val="운반비"/>
      <sheetName val="2000양배"/>
      <sheetName val=" HIT-&gt;HMC 견적(3900)"/>
      <sheetName val="구조물견적서"/>
      <sheetName val="lee"/>
      <sheetName val="집계표소트"/>
      <sheetName val="토공A"/>
      <sheetName val="plan&amp;section of foundation"/>
      <sheetName val="pile bearing capa &amp; arrenge"/>
      <sheetName val="working load at the btm ft."/>
      <sheetName val="stability check"/>
      <sheetName val="design criteria"/>
      <sheetName val="11.우각부 보강"/>
      <sheetName val="투찰추정"/>
      <sheetName val="검토"/>
      <sheetName val="INPUT"/>
      <sheetName val="갑지"/>
      <sheetName val="토목내역"/>
      <sheetName val="사급자재"/>
      <sheetName val="소포내역 (2)"/>
      <sheetName val="간이영수증"/>
      <sheetName val="여과지동"/>
      <sheetName val="기초자료"/>
      <sheetName val="일위대가(가설)"/>
      <sheetName val="11.산출(전열)"/>
      <sheetName val="6.산출(동력)"/>
      <sheetName val="7.산출(TRAY)"/>
      <sheetName val="부재예실1월"/>
      <sheetName val="연결임시"/>
      <sheetName val="결과조달"/>
      <sheetName val="INPUT-DATA"/>
      <sheetName val="용소리교"/>
      <sheetName val="총괄-1"/>
      <sheetName val="COVER"/>
      <sheetName val="자재단가"/>
      <sheetName val="교량"/>
      <sheetName val="Macro(차단기)"/>
      <sheetName val="시멘트"/>
      <sheetName val="8설7발"/>
      <sheetName val="현금흐름"/>
      <sheetName val="전체_1설계"/>
      <sheetName val="노임 단가"/>
      <sheetName val="배수통관(좌)"/>
      <sheetName val="Total"/>
      <sheetName val="01AC"/>
      <sheetName val="정화조내역"/>
      <sheetName val="EBSDATA"/>
      <sheetName val="일위대가(1)"/>
      <sheetName val="마산방향"/>
      <sheetName val="진주방향"/>
      <sheetName val="기계공사"/>
      <sheetName val="7. 현장관리비 "/>
      <sheetName val="6. 안전관리비"/>
      <sheetName val="봉양~조차장간고하개명(신설)"/>
      <sheetName val="역T형옹벽단위수량"/>
      <sheetName val="입력데이타"/>
      <sheetName val="원가"/>
      <sheetName val="설계예산서"/>
      <sheetName val="ilch"/>
      <sheetName val="_HIT__HMC 견적_3900_"/>
      <sheetName val="노임단가표"/>
      <sheetName val="5.산출(전력)"/>
      <sheetName val="FM"/>
      <sheetName val="금호"/>
      <sheetName val="자재단가표"/>
      <sheetName val="99월별경비계획"/>
      <sheetName val="부대내역"/>
      <sheetName val="토목"/>
      <sheetName val="일위대가목록"/>
      <sheetName val="설 계"/>
      <sheetName val="정렬"/>
      <sheetName val="내역원본"/>
      <sheetName val="70%"/>
      <sheetName val="Macro1"/>
      <sheetName val="13LPMCC"/>
      <sheetName val="가격조사서"/>
      <sheetName val="검암내역"/>
      <sheetName val="기성내역"/>
      <sheetName val="입력"/>
      <sheetName val="예산총괄"/>
      <sheetName val="공사원가계산서"/>
      <sheetName val="추가예산"/>
      <sheetName val="소비자가"/>
      <sheetName val="bearing"/>
      <sheetName val="물량표S"/>
      <sheetName val="원가+내역"/>
      <sheetName val="JUCKEYK"/>
      <sheetName val="A 견적"/>
      <sheetName val="전기일위목록"/>
      <sheetName val="기초수량집"/>
      <sheetName val="중기일위대가"/>
      <sheetName val="단가조사-2"/>
      <sheetName val="내   역"/>
      <sheetName val="플랜트 설치"/>
      <sheetName val="광산내역"/>
      <sheetName val="type-F"/>
      <sheetName val="단가집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제품원재"/>
      <sheetName val="건설성적"/>
      <sheetName val="WORK"/>
      <sheetName val="일위집계(기존)"/>
      <sheetName val="조건표"/>
      <sheetName val="날개벽수량표"/>
      <sheetName val="99-0002"/>
      <sheetName val="소방사항"/>
      <sheetName val="설계"/>
      <sheetName val="전기실-1"/>
      <sheetName val="산출내역서집계표"/>
      <sheetName val="목차 "/>
      <sheetName val="화재 탐지 설비"/>
      <sheetName val="TYPE-A"/>
      <sheetName val="지불내역(자재외)"/>
      <sheetName val="동방설계서"/>
      <sheetName val="인사자료총집계"/>
      <sheetName val="수정2"/>
      <sheetName val="데리네이타현황"/>
      <sheetName val="중기"/>
      <sheetName val="내역(가지)"/>
      <sheetName val="일용노임단가"/>
      <sheetName val="원계약고시공및준비구분"/>
      <sheetName val="6PILE  (돌출)"/>
      <sheetName val="바닥판"/>
      <sheetName val="입력DATA"/>
      <sheetName val="SHEET PILE단가"/>
      <sheetName val="갑지(추정)"/>
      <sheetName val="접속도로1"/>
      <sheetName val="공사비총괄"/>
      <sheetName val="BH_1 _2_"/>
      <sheetName val="200"/>
      <sheetName val="편입토지조서"/>
      <sheetName val="spc 배관견적"/>
      <sheetName val="1.취수장"/>
      <sheetName val="단가조건(02년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건축공사"/>
      <sheetName val="전라자금"/>
      <sheetName val="기기리스트"/>
      <sheetName val="단가조사표"/>
      <sheetName val="Y-WORK"/>
      <sheetName val="전기일위대가"/>
      <sheetName val="기초코드"/>
      <sheetName val="SLAB"/>
      <sheetName val="계수시트"/>
      <sheetName val="PAY"/>
      <sheetName val="별첨1-임식"/>
      <sheetName val="기본자료"/>
      <sheetName val="부속동"/>
      <sheetName val="APT"/>
      <sheetName val="구간별관경"/>
      <sheetName val="3.1공사현황 공정표"/>
      <sheetName val="현장관리비참조"/>
      <sheetName val="투입내역"/>
      <sheetName val="주관사업"/>
      <sheetName val="시설물일위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1"/>
      <sheetName val="일위대가목차"/>
      <sheetName val="공정증감대ㅈ표"/>
      <sheetName val="SG"/>
      <sheetName val="시설물기초"/>
      <sheetName val="예가표"/>
      <sheetName val="안정계산"/>
      <sheetName val="단면검토"/>
      <sheetName val="d118"/>
      <sheetName val="2000년하반기"/>
      <sheetName val="개산공사비"/>
      <sheetName val="퇴직금(울산천상)"/>
      <sheetName val="저장소"/>
      <sheetName val="내역집계"/>
      <sheetName val="재개발"/>
      <sheetName val="공통가설"/>
      <sheetName val="CORE#2"/>
      <sheetName val="전 기"/>
      <sheetName val="관급자재"/>
      <sheetName val="b_balju"/>
      <sheetName val="원가총괄"/>
      <sheetName val="귀래 설계 공내역서"/>
      <sheetName val="내역표지"/>
      <sheetName val="재집"/>
      <sheetName val="총"/>
      <sheetName val="물량표"/>
      <sheetName val="오산갈곳"/>
      <sheetName val="견적서"/>
      <sheetName val="unit 4"/>
      <sheetName val="asd"/>
      <sheetName val="C97상"/>
      <sheetName val="공통단가"/>
      <sheetName val="1월"/>
      <sheetName val="내역서1"/>
      <sheetName val="WING3"/>
      <sheetName val="전입"/>
      <sheetName val="일위"/>
      <sheetName val="장비단가표"/>
      <sheetName val="Customer Databas"/>
      <sheetName val="6공구(당초)"/>
      <sheetName val="입찰"/>
      <sheetName val="현경"/>
      <sheetName val="중기사용료산출근거"/>
      <sheetName val="단가산출1"/>
      <sheetName val="파일구성"/>
      <sheetName val="유입량"/>
      <sheetName val="직접경비호표"/>
      <sheetName val="ELEC"/>
      <sheetName val="1유리"/>
      <sheetName val="백암비스타내역"/>
      <sheetName val="#2_일위대가목록"/>
      <sheetName val="실행(ALT1)"/>
      <sheetName val="개인별 순위표"/>
      <sheetName val="INDEX"/>
      <sheetName val="프랜트면허"/>
      <sheetName val="냉천부속동"/>
      <sheetName val="네고율"/>
      <sheetName val="직재"/>
      <sheetName val="전동기"/>
      <sheetName val="일위대가(집계)"/>
      <sheetName val="신천3호용수로"/>
      <sheetName val="중기비"/>
      <sheetName val="수량산출서집계(1-4차)"/>
      <sheetName val="정산내역"/>
      <sheetName val="Cash Flow-1"/>
      <sheetName val="수지예산"/>
      <sheetName val="정리계획CF평가"/>
      <sheetName val="증감분석"/>
      <sheetName val="공기압축기실"/>
      <sheetName val="원도급"/>
      <sheetName val="하도급"/>
      <sheetName val="(1)본선수량집계"/>
      <sheetName val="재료"/>
      <sheetName val="단가(적용)"/>
      <sheetName val="조경수목"/>
      <sheetName val="퇴직공제부금"/>
      <sheetName val="평균노임"/>
      <sheetName val="설계서(본관)"/>
      <sheetName val="분석"/>
      <sheetName val="시운전연료비"/>
      <sheetName val="골조시행"/>
      <sheetName val="시운전연료"/>
      <sheetName val="입찰보고"/>
      <sheetName val="업체자료"/>
      <sheetName val="MILL"/>
      <sheetName val="9GNG운반"/>
      <sheetName val="EQT-ESTN"/>
      <sheetName val="1.설계기준"/>
      <sheetName val="SUMMARY(S)"/>
      <sheetName val="노임이"/>
      <sheetName val="중사"/>
      <sheetName val="자료입력"/>
      <sheetName val="적용단위길이"/>
      <sheetName val="전기혼잡제경비(45)"/>
      <sheetName val="공사비집계"/>
      <sheetName val="재료비단가"/>
      <sheetName val="제노임"/>
      <sheetName val="연습"/>
      <sheetName val="장비단가"/>
      <sheetName val="Sheet5"/>
      <sheetName val="재료값"/>
      <sheetName val="세골재  T2 변경 현황"/>
      <sheetName val="철거산출근거"/>
      <sheetName val="실행"/>
      <sheetName val="CODE"/>
      <sheetName val="원형1호맨홀토공수량"/>
      <sheetName val="입찰견적보고서"/>
      <sheetName val="지구단위계획"/>
      <sheetName val="자동제어"/>
      <sheetName val="8.현장관리비"/>
      <sheetName val="7.안전관리비"/>
      <sheetName val="내역서 "/>
      <sheetName val="상수도토공집계표"/>
      <sheetName val="시중노임단가"/>
      <sheetName val="교각계산"/>
      <sheetName val="POL6차-PIPING"/>
      <sheetName val="PAINT"/>
      <sheetName val="인건비"/>
      <sheetName val="기본일위"/>
      <sheetName val="모델명"/>
      <sheetName val="수량산출"/>
      <sheetName val="분전반일위대가"/>
      <sheetName val="101동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손익분석"/>
      <sheetName val="덕전리"/>
      <sheetName val="1,2,3,4,5단위수량"/>
      <sheetName val="Sheet2"/>
      <sheetName val="계산표지"/>
      <sheetName val="노임변동률"/>
      <sheetName val="결재란"/>
      <sheetName val="부서코드표"/>
      <sheetName val="7.공정표"/>
      <sheetName val="단면 (2)"/>
      <sheetName val="간접비(1)"/>
      <sheetName val="공사비총괄표"/>
      <sheetName val="준공정산"/>
      <sheetName val="남양내역"/>
      <sheetName val="MAIN_TABLE"/>
      <sheetName val="1안"/>
      <sheetName val="BQ"/>
      <sheetName val="집계및폼"/>
      <sheetName val="04_10_11"/>
      <sheetName val="설치"/>
      <sheetName val="가설건물"/>
      <sheetName val="DHEQSUPT"/>
      <sheetName val="토사(PE)"/>
      <sheetName val="청천내"/>
      <sheetName val="원가서"/>
      <sheetName val="코드"/>
      <sheetName val="단가(반정1교-원주)"/>
      <sheetName val="CC16-내역서"/>
      <sheetName val="제잡비"/>
      <sheetName val="개요"/>
      <sheetName val="대공종"/>
      <sheetName val="기본단가"/>
      <sheetName val="MSS_2"/>
      <sheetName val="장비"/>
      <sheetName val="노무"/>
      <sheetName val="한전일위"/>
      <sheetName val="Macro(전선)"/>
      <sheetName val="주beam"/>
      <sheetName val="일위_파일"/>
      <sheetName val="이토변실(A3-LINE)"/>
      <sheetName val="AS복구"/>
      <sheetName val="중기터파기"/>
      <sheetName val="변수값"/>
      <sheetName val="중기상차"/>
      <sheetName val="협력업체"/>
      <sheetName val="코드1"/>
      <sheetName val="코드2"/>
      <sheetName val="합계"/>
      <sheetName val="식재인부"/>
      <sheetName val="수량집계"/>
      <sheetName val="집계장(대목_실행)"/>
      <sheetName val="집 계 표"/>
      <sheetName val="유림골조"/>
      <sheetName val="별표 "/>
      <sheetName val="가시설단위수량"/>
      <sheetName val="건축2"/>
      <sheetName val="Eq. Mobilization"/>
      <sheetName val="대치판정"/>
      <sheetName val="단가조사서"/>
      <sheetName val="코드일람표2001년10월"/>
      <sheetName val="공량산출서"/>
      <sheetName val="건축"/>
      <sheetName val="환율change"/>
      <sheetName val="당초"/>
      <sheetName val="단가표"/>
      <sheetName val="시화점실행"/>
      <sheetName val="기별(종합)"/>
      <sheetName val="일위단가"/>
      <sheetName val="도담구내 개소별 명세"/>
      <sheetName val="전기공사"/>
      <sheetName val="단가적용"/>
      <sheetName val="미드수량"/>
      <sheetName val="공사비산출내역"/>
      <sheetName val="단면가정"/>
      <sheetName val="제수변 수량집계표(보통)"/>
      <sheetName val="장비비 명세서1"/>
      <sheetName val="소화실적"/>
      <sheetName val="5. 현장관리비(new) "/>
      <sheetName val="김해토지조서"/>
      <sheetName val="투찰가"/>
      <sheetName val="실지수기호표"/>
      <sheetName val="자금청구"/>
      <sheetName val="품목납기"/>
      <sheetName val="대림경상68억"/>
      <sheetName val="목차"/>
      <sheetName val="직접비"/>
      <sheetName val="자재co"/>
      <sheetName val="INSTR"/>
      <sheetName val="#3_일위대가목록"/>
      <sheetName val="TCDB"/>
      <sheetName val="일위대가표48"/>
      <sheetName val="10공구일위"/>
      <sheetName val="RETAIL (ABOVE)"/>
      <sheetName val="토공계산서(부체도로)"/>
      <sheetName val="손익차9월2"/>
      <sheetName val="득점현황"/>
      <sheetName val="3.공통공사대비"/>
      <sheetName val="TOT"/>
      <sheetName val="부대공(BOQ)"/>
      <sheetName val="횡배수관토공수량"/>
      <sheetName val="세부추진"/>
      <sheetName val="상용보강"/>
      <sheetName val="단가조사"/>
      <sheetName val="수우미양가(Vlookup)"/>
      <sheetName val="2_1__노무비_평균단가산출"/>
      <sheetName val="관공일위대가"/>
      <sheetName val="관자재"/>
      <sheetName val="단가 및 재료비"/>
      <sheetName val="관접합및자재집계표"/>
      <sheetName val="공정코드"/>
      <sheetName val="실행대비"/>
      <sheetName val="내역서비교"/>
      <sheetName val="몰탈"/>
      <sheetName val="98수문일위"/>
      <sheetName val="용수간선"/>
      <sheetName val="현장별"/>
      <sheetName val="암거"/>
      <sheetName val="현금예금"/>
      <sheetName val="sub"/>
      <sheetName val="검색방"/>
      <sheetName val=""/>
      <sheetName val="공사수행방안"/>
      <sheetName val="노임단가 (2)"/>
      <sheetName val="BJJIN"/>
      <sheetName val="단중표"/>
      <sheetName val="7"/>
      <sheetName val="投标材料清单 "/>
      <sheetName val="1단계"/>
      <sheetName val="사유서제출현황-2"/>
      <sheetName val="확정분요약"/>
      <sheetName val="확정분세부"/>
      <sheetName val="Sheet4"/>
      <sheetName val="심사물량"/>
      <sheetName val="인천제철"/>
      <sheetName val="현관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신고조서"/>
      <sheetName val="EJ"/>
      <sheetName val="맨홀토공"/>
      <sheetName val="맨홀수량산출"/>
      <sheetName val="제경비산출서"/>
      <sheetName val="단   산"/>
      <sheetName val="실    단"/>
      <sheetName val="Sheet1 (2)"/>
      <sheetName val="실행(표지,갑,을)"/>
      <sheetName val="도급FORM"/>
      <sheetName val="일정"/>
      <sheetName val="2000노임기준"/>
      <sheetName val="점수계산1-2"/>
      <sheetName val="원본"/>
      <sheetName val="도수로현황"/>
      <sheetName val="본사공가현황"/>
      <sheetName val="96수출"/>
      <sheetName val="내역서을지"/>
      <sheetName val="도실건시"/>
      <sheetName val="암거 제원표"/>
      <sheetName val="HVAC"/>
      <sheetName val="CODE1"/>
      <sheetName val="금리계산"/>
      <sheetName val="콘크리트타설집계표"/>
      <sheetName val="중기사용료"/>
      <sheetName val="산식3"/>
      <sheetName val="재료비노무비"/>
      <sheetName val="일위(시설)"/>
      <sheetName val="노무비 근거"/>
      <sheetName val="SHEET"/>
      <sheetName val="건축내역서"/>
      <sheetName val="VE절감"/>
      <sheetName val="청주(철골발주의뢰서)"/>
      <sheetName val="분전함신설"/>
      <sheetName val="차수"/>
      <sheetName val="일위총괄"/>
      <sheetName val="평3"/>
      <sheetName val="옥내소화전계산서"/>
      <sheetName val="비주거용"/>
      <sheetName val="하중계산"/>
      <sheetName val="인부신상자료"/>
      <sheetName val="관리,공감"/>
      <sheetName val="Sheet6"/>
      <sheetName val="인력터파기"/>
      <sheetName val="월별수입"/>
      <sheetName val="인원"/>
      <sheetName val="구의33고"/>
      <sheetName val="유림총괄"/>
      <sheetName val="N賃率_職"/>
      <sheetName val="양식_자재단가조사표"/>
      <sheetName val="부총"/>
      <sheetName val="기안"/>
      <sheetName val="guard(mac)"/>
      <sheetName val="제품목록"/>
      <sheetName val="통신물량"/>
      <sheetName val="기본"/>
      <sheetName val="공통(20-91)"/>
      <sheetName val="Macro3"/>
      <sheetName val="A1"/>
      <sheetName val="대운반(철재)"/>
      <sheetName val="SHL"/>
      <sheetName val="2.대외공문"/>
      <sheetName val="단위수량"/>
      <sheetName val="장비집계"/>
      <sheetName val="범례표"/>
      <sheetName val="변경명신물량 (2)"/>
      <sheetName val="2련간지"/>
      <sheetName val="sw1"/>
      <sheetName val="울산자금"/>
      <sheetName val="1공구(입찰내역)"/>
      <sheetName val="동해title"/>
      <sheetName val="철근량"/>
      <sheetName val="-배수구조총재료"/>
      <sheetName val="전선 및 전선관"/>
      <sheetName val="공조기"/>
      <sheetName val="5호광장_(만점)1"/>
      <sheetName val="인천국제_(만점)_(2)1"/>
      <sheetName val="Total_단위경유량집계1"/>
      <sheetName val="준검_내역서1"/>
      <sheetName val="토공유동표(전체_당초)1"/>
      <sheetName val="1_수인터널1"/>
      <sheetName val="표__지1"/>
      <sheetName val="1_설계조건1"/>
      <sheetName val="조도계산서_(도서)1"/>
      <sheetName val="I_설계조건1"/>
      <sheetName val="BH-1_(2)1"/>
      <sheetName val="4_전기1"/>
      <sheetName val="11_우각부_보강1"/>
      <sheetName val="제출내역_(2)1"/>
      <sheetName val="우수관매설및_우수받이1"/>
      <sheetName val="11_산출(전열)1"/>
      <sheetName val="6_산출(동력)1"/>
      <sheetName val="7_산출(TRAY)1"/>
      <sheetName val="노원열병합__건축공사기성내역서1"/>
      <sheetName val="3련_BOX1"/>
      <sheetName val="앉음벽_(2)1"/>
      <sheetName val="내역_ver1_01"/>
      <sheetName val="보고서_기기리스트"/>
      <sheetName val="소포내역_(2)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배수내역_(2)"/>
      <sheetName val="배수공_시멘트_및_골재량_산출"/>
      <sheetName val="_HIT__HMC_견적_3900_1"/>
      <sheetName val="7__현장관리비_1"/>
      <sheetName val="6__안전관리비1"/>
      <sheetName val="5_산출(전력)"/>
      <sheetName val="수량산출서(전력간선_지하D_C)"/>
      <sheetName val="내___역"/>
      <sheetName val="A_견적"/>
      <sheetName val="_HIT-&gt;HMC_견적(3900)"/>
      <sheetName val="플랜트_설치"/>
      <sheetName val="unit_4"/>
      <sheetName val="전_기"/>
      <sheetName val="6PILE__(돌출)"/>
      <sheetName val="목차_"/>
      <sheetName val="화재_탐지_설비"/>
      <sheetName val="SHEET_PILE단가"/>
      <sheetName val="귀래_설계_공내역서"/>
      <sheetName val="Customer_Databas"/>
      <sheetName val="2차전체변경예정_(2)"/>
      <sheetName val="spc_배관견적"/>
      <sheetName val="1_취수장"/>
      <sheetName val="노임_단가"/>
      <sheetName val="설_계"/>
      <sheetName val="개인별_순위표"/>
      <sheetName val="BH_1__2_"/>
      <sheetName val="3_1공사현황_공정표"/>
      <sheetName val="Cash_Flow-1"/>
      <sheetName val="3_공통공사대비"/>
      <sheetName val="세골재__T2_변경_현황"/>
      <sheetName val="학생내역"/>
      <sheetName val="정산을지"/>
      <sheetName val="6. 수량산출서"/>
      <sheetName val="wall"/>
      <sheetName val="조작대(1연)"/>
      <sheetName val="위치조서"/>
      <sheetName val="일위대_x0000__x0000_Ԁ_x0000_䀀"/>
      <sheetName val="B"/>
      <sheetName val="일위대㐀븁_x0000__x0000_退"/>
      <sheetName val="비교1"/>
      <sheetName val="표준건축비"/>
      <sheetName val="본사인상전"/>
      <sheetName val="효율표"/>
      <sheetName val="기계실냉난방"/>
      <sheetName val="위치"/>
      <sheetName val="월별손익"/>
      <sheetName val="PI"/>
      <sheetName val="목록"/>
      <sheetName val="건축공사실행"/>
      <sheetName val="건축원가"/>
      <sheetName val="1차 내역서"/>
      <sheetName val="내역서2안"/>
      <sheetName val="물량내역서"/>
      <sheetName val="수목표준대가"/>
      <sheetName val="기초목"/>
      <sheetName val="database"/>
      <sheetName val="에어샵공사"/>
      <sheetName val="Sheet16"/>
      <sheetName val="입력정보"/>
      <sheetName val="현장경비"/>
      <sheetName val="장비 (2)"/>
      <sheetName val="적용환율"/>
      <sheetName val="건축기술부대조건"/>
      <sheetName val="이월"/>
      <sheetName val="단가비교"/>
      <sheetName val="MSS_21"/>
      <sheetName val="1_설계기준"/>
      <sheetName val="집_계_표"/>
      <sheetName val="8_현장관리비"/>
      <sheetName val="7_안전관리비"/>
      <sheetName val="별표_"/>
      <sheetName val="Eq__Mobilization"/>
      <sheetName val="내역서_"/>
      <sheetName val="도담구내_개소별_명세"/>
      <sheetName val="投标材料清单_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Baby일위대가"/>
      <sheetName val="COST"/>
      <sheetName val="가설식당"/>
      <sheetName val=" 갑지"/>
      <sheetName val="옥외외등집계표"/>
      <sheetName val="산출"/>
      <sheetName val="소방"/>
      <sheetName val="예산코드"/>
      <sheetName val="원가입력"/>
      <sheetName val="기준"/>
      <sheetName val="3BL공동구 수량"/>
      <sheetName val="CM 1"/>
      <sheetName val="5.동별횡주관경"/>
      <sheetName val="전산망"/>
      <sheetName val="골조"/>
      <sheetName val="일위산출근거"/>
      <sheetName val="자동세륜기"/>
      <sheetName val="입력데이타(비인쇄용)"/>
      <sheetName val="내역서1999.8최종"/>
      <sheetName val="APT내역"/>
      <sheetName val="부대시설"/>
      <sheetName val="Sheet17"/>
      <sheetName val="LF자재단가"/>
      <sheetName val="제품정보"/>
      <sheetName val="상품수불(합산)"/>
      <sheetName val="전사 (2)"/>
      <sheetName val="BA (2)"/>
      <sheetName val="CP (2)"/>
      <sheetName val="시산표"/>
      <sheetName val="일위CODE"/>
      <sheetName val="동물이동통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 소방공사 산출근거"/>
      <sheetName val="49일위"/>
      <sheetName val="22일위"/>
      <sheetName val="인건-측정"/>
      <sheetName val="울산자동제어"/>
      <sheetName val="실행내역서(DCU)"/>
      <sheetName val="노무비"/>
      <sheetName val="일위대가집계"/>
      <sheetName val="기계실"/>
      <sheetName val="간접"/>
      <sheetName val="수량산출서 (2)"/>
      <sheetName val="재적표"/>
      <sheetName val="참조 (2)"/>
      <sheetName val="I_설계조_x0000_"/>
      <sheetName val="수량명세서"/>
      <sheetName val="내역서(100%)"/>
      <sheetName val="新철폐복2"/>
      <sheetName val="新철폐복3"/>
      <sheetName val="新철폐복"/>
      <sheetName val="MSS"/>
      <sheetName val="정화조"/>
      <sheetName val="2"/>
      <sheetName val="집계표(육상)"/>
      <sheetName val="목록표"/>
      <sheetName val="기성(1차) "/>
      <sheetName val="NOMUBI"/>
      <sheetName val="정산서"/>
      <sheetName val="설계서"/>
      <sheetName val="20관리비율"/>
      <sheetName val="95MAKER"/>
      <sheetName val="구성비"/>
      <sheetName val="5사남"/>
      <sheetName val="조직"/>
      <sheetName val="설계명세서"/>
      <sheetName val="esc"/>
      <sheetName val="1회"/>
      <sheetName val="관경별내역서"/>
      <sheetName val="환경평가"/>
      <sheetName val="계정"/>
      <sheetName val="수배전(갑)"/>
      <sheetName val="포장(수량)-관로부"/>
      <sheetName val="전철"/>
      <sheetName val="일위대가(계측기설치)"/>
      <sheetName val="BSD (2)"/>
      <sheetName val="수문일1"/>
      <sheetName val="마스터원본"/>
      <sheetName val="견내"/>
      <sheetName val="공종별(공용부위)"/>
      <sheetName val="공사실행(공용부위)"/>
      <sheetName val="공종분리"/>
      <sheetName val="실행예산보고서"/>
      <sheetName val="실행예산보고서-제출용"/>
      <sheetName val="가설"/>
      <sheetName val="설비"/>
      <sheetName val="에어컨"/>
      <sheetName val="공조설비"/>
      <sheetName val="경량"/>
      <sheetName val="금속"/>
      <sheetName val="도장"/>
      <sheetName val="대관업무"/>
      <sheetName val="대리석"/>
      <sheetName val="롤스크린"/>
      <sheetName val="목공"/>
      <sheetName val="방수"/>
      <sheetName val="베이스판넬"/>
      <sheetName val="습식및 셀프레벨링"/>
      <sheetName val="유리"/>
      <sheetName val="자동문"/>
      <sheetName val="준공청소"/>
      <sheetName val="직영노무비"/>
      <sheetName val="철거"/>
      <sheetName val="카펫트"/>
      <sheetName val="타일"/>
      <sheetName val="폐자재"/>
      <sheetName val="플로링"/>
      <sheetName val="하드웨어"/>
      <sheetName val="p-타일"/>
      <sheetName val="건축공사원가계산서"/>
      <sheetName val="건축집계표"/>
      <sheetName val="인테리어내역서"/>
      <sheetName val="1-1"/>
      <sheetName val="Space"/>
      <sheetName val="Final"/>
      <sheetName val="구조물"/>
      <sheetName val="대전(세창동)"/>
      <sheetName val="정보"/>
      <sheetName val="설계명세서(선로)"/>
      <sheetName val="바.한일양산"/>
      <sheetName val="판테온실행내역"/>
      <sheetName val="회사정보"/>
      <sheetName val="해외(원화)"/>
      <sheetName val="hvac내역서(제어동)"/>
      <sheetName val="Project Brief"/>
      <sheetName val="UNIT"/>
      <sheetName val="Breakdown"/>
      <sheetName val="UnitRate"/>
      <sheetName val="영업.일1"/>
      <sheetName val="일위대가(건축)"/>
      <sheetName val="습식및_셀프레벨링"/>
      <sheetName val="1차_내역서"/>
      <sheetName val="카쎫트"/>
      <sheetName val="COPING"/>
      <sheetName val="간선계산"/>
      <sheetName val="#REF!"/>
      <sheetName val="기기 내역서"/>
      <sheetName val="환산"/>
      <sheetName val="일산실행내역"/>
      <sheetName val="J直材4"/>
      <sheetName val="연부97-1"/>
      <sheetName val="갑지1"/>
      <sheetName val="EACT10"/>
      <sheetName val="실행간접비용"/>
      <sheetName val="부대tu"/>
      <sheetName val="시추주상도"/>
      <sheetName val="CLAUSE"/>
      <sheetName val="BOJUNGGM"/>
      <sheetName val="세금자료"/>
      <sheetName val="말고개터널조명전압강하"/>
      <sheetName val="유치원내역"/>
      <sheetName val="조도계산서_(도서_x0000_"/>
      <sheetName val="단위중량"/>
      <sheetName val="실적공사비"/>
      <sheetName val="전기단가조사서"/>
      <sheetName val="일위대가 "/>
      <sheetName val="1ST"/>
      <sheetName val="4 LINE"/>
      <sheetName val="7 th"/>
      <sheetName val="CTEMCOST"/>
      <sheetName val="ELECTRIC"/>
      <sheetName val="SCHEDULE"/>
      <sheetName val="04변경-상하"/>
      <sheetName val="투찰"/>
      <sheetName val="재정비내역"/>
      <sheetName val="지적고시내역"/>
      <sheetName val="토공(1)"/>
      <sheetName val="준공조서갑지"/>
      <sheetName val="콘_재료분리(1)"/>
      <sheetName val="1.CB"/>
      <sheetName val="변수"/>
      <sheetName val="형상"/>
      <sheetName val="CON'C"/>
      <sheetName val="간접비"/>
      <sheetName val="자재"/>
      <sheetName val="산근1"/>
      <sheetName val="조립1부실적"/>
      <sheetName val="간지"/>
      <sheetName val="보고서_기기리스트1"/>
      <sheetName val="NNV"/>
      <sheetName val="아파트 "/>
      <sheetName val="견적의뢰서"/>
      <sheetName val="수량산출서집계"/>
      <sheetName val="맨홀수량"/>
      <sheetName val="토공 total"/>
      <sheetName val="공기압舓⿫_x0005_"/>
      <sheetName val="공기압妐&quot;姜"/>
      <sheetName val="LIST"/>
      <sheetName val="상반기손익차2총괄"/>
      <sheetName val="지급자재"/>
      <sheetName val="토목내역서"/>
      <sheetName val="식음료"/>
      <sheetName val="apt수량"/>
      <sheetName val="현금"/>
      <sheetName val="첨부1"/>
      <sheetName val="난간벽단위"/>
      <sheetName val="예산조서(전송)"/>
      <sheetName val="MIJIBI"/>
      <sheetName val="0Title"/>
      <sheetName val="할빙수"/>
      <sheetName val="기성갑지"/>
      <sheetName val="자재단가리스트"/>
      <sheetName val="견적시담(송포2공구)"/>
      <sheetName val="6__안전관慨⻥"/>
      <sheetName val="F4-F7"/>
      <sheetName val="간접경상비"/>
      <sheetName val="J"/>
      <sheetName val="날개수집"/>
      <sheetName val="가시설(TYPE-A)"/>
      <sheetName val="1-1평균터파기고(1)"/>
      <sheetName val="각종양식"/>
      <sheetName val="변경내역"/>
      <sheetName val="골재산출"/>
      <sheetName val="토공 토적표"/>
      <sheetName val="전압강하자료"/>
      <sheetName val="현장조사"/>
      <sheetName val="현황산출서"/>
      <sheetName val="&lt;--"/>
      <sheetName val="안정검토"/>
      <sheetName val="REDUCER"/>
      <sheetName val="WE'T"/>
      <sheetName val="갑지.을지"/>
      <sheetName val="기타"/>
      <sheetName val="K1자재(3차등)"/>
      <sheetName val="포장수량집계"/>
      <sheetName val="제수변수량"/>
      <sheetName val="하수급견적대비"/>
      <sheetName val="일위대가목록표"/>
      <sheetName val="교대(A1)"/>
      <sheetName val="경비_원본"/>
      <sheetName val="주bea_xdcf0_"/>
      <sheetName val="접속도수량집계표"/>
      <sheetName val="건축집계"/>
      <sheetName val="감가상각비대체내역"/>
      <sheetName val="미납품 현황"/>
      <sheetName val="유효폭의 계산"/>
      <sheetName val="다곡2교"/>
      <sheetName val="설명서 "/>
      <sheetName val="FACTOR"/>
      <sheetName val="건축원가계산서"/>
      <sheetName val="설-원가"/>
      <sheetName val="집계"/>
      <sheetName val="결재_x0000_"/>
      <sheetName val="인적사항(누적)"/>
      <sheetName val="자재집계"/>
      <sheetName val="부대대비"/>
      <sheetName val="냉연집계"/>
      <sheetName val="15100"/>
      <sheetName val="I_설계조多"/>
      <sheetName val="물류최종8월7"/>
      <sheetName val="세목별"/>
      <sheetName val="선정요령"/>
      <sheetName val="한일양산"/>
      <sheetName val="2-2.매출분석"/>
      <sheetName val="수완하도"/>
      <sheetName val="김포내역"/>
      <sheetName val="FAB별"/>
      <sheetName val="2분기"/>
      <sheetName val="예산실적전체당월"/>
      <sheetName val="기준액"/>
      <sheetName val="(당평)자재"/>
      <sheetName val="임차비용"/>
      <sheetName val="조경수량"/>
      <sheetName val="데이터유효성검사자료"/>
      <sheetName val="송전기본"/>
      <sheetName val="기본설계기준"/>
      <sheetName val="설계내역(2001)"/>
      <sheetName val="H-pile(298x299)"/>
      <sheetName val="H-pile(250x250)"/>
      <sheetName val="일위1"/>
      <sheetName val="우석문틀"/>
      <sheetName val="담보"/>
      <sheetName val="수정계획3"/>
      <sheetName val="기존단가 (2)"/>
      <sheetName val="대_x0000__x0000_"/>
      <sheetName val="8.설치품셈"/>
      <sheetName val="시추조사비"/>
      <sheetName val="자갈,시멘트,모래산출"/>
      <sheetName val="S0"/>
      <sheetName val="을부담운반비"/>
      <sheetName val="STEEL BOX 단면설계(SEC.8)"/>
      <sheetName val="도담구내 개소별 명柖"/>
      <sheetName val="ACMV"/>
      <sheetName val="P&amp;S"/>
      <sheetName val="danh muc vat tu"/>
      <sheetName val="Register-BG NCC"/>
      <sheetName val="Data 2"/>
      <sheetName val="TB chính"/>
      <sheetName val="AHU-PAU-FCU"/>
      <sheetName val="FANS"/>
      <sheetName val="Steel pipe"/>
      <sheetName val="Ref pipe+Ins"/>
      <sheetName val="Plastic pipe"/>
      <sheetName val="Duct"/>
      <sheetName val="Air Grilles"/>
      <sheetName val="Valves"/>
      <sheetName val="주식"/>
      <sheetName val="Cost bd-&quot;A&quot;"/>
      <sheetName val="덤프트럭계수"/>
      <sheetName val="보할"/>
      <sheetName val="화설내"/>
      <sheetName val="내역1"/>
      <sheetName val="6동"/>
      <sheetName val="영업소실적"/>
      <sheetName val=" FURNACE현설"/>
      <sheetName val="97 사업추정(WEKI)"/>
      <sheetName val="제1영업소"/>
      <sheetName val="제2영업소"/>
      <sheetName val="제3영업소"/>
      <sheetName val="ITB COST"/>
      <sheetName val="사업부구분코드"/>
      <sheetName val="급,배기팬"/>
      <sheetName val="램머"/>
      <sheetName val="부하LOAD"/>
      <sheetName val="11"/>
      <sheetName val="건명"/>
      <sheetName val="수자재단위당"/>
      <sheetName val="수계"/>
      <sheetName val="토지가격산출기초"/>
      <sheetName val="공시지가"/>
      <sheetName val="인원계획-미화"/>
      <sheetName val="안산기계장치"/>
      <sheetName val="토목도급"/>
      <sheetName val="점유현황"/>
      <sheetName val="95년12월말"/>
      <sheetName val="판정1교토공"/>
      <sheetName val="WEON"/>
      <sheetName val="제조노임"/>
      <sheetName val="인입관수량총괄"/>
      <sheetName val="단가조사-1"/>
      <sheetName val="갑지_설계 내역서"/>
      <sheetName val="전도품의"/>
      <sheetName val="원료"/>
      <sheetName val="GDP"/>
      <sheetName val="일일입력"/>
      <sheetName val="품목등록"/>
      <sheetName val="실_인건비(5월부터)"/>
      <sheetName val="현장별정리"/>
      <sheetName val="Scenario"/>
      <sheetName val="현장실사자료"/>
      <sheetName val="자격 땡겨오기"/>
      <sheetName val="단양 00 아파트-세부내역"/>
      <sheetName val="코_x0000_"/>
      <sheetName val="05년 상"/>
      <sheetName val="영흥TL(UP,DOWN) "/>
      <sheetName val="학익동신동아5차CD365"/>
      <sheetName val="배수관연장조서"/>
      <sheetName val="2.단면가정 (양곡1교)"/>
      <sheetName val="표지 (2)"/>
      <sheetName val="기타#9"/>
      <sheetName val="만년달력"/>
      <sheetName val="직접뀀鞖/_x0000_"/>
      <sheetName val="매입"/>
      <sheetName val="10"/>
      <sheetName val="12"/>
      <sheetName val="13"/>
      <sheetName val="14"/>
      <sheetName val="15"/>
      <sheetName val="16"/>
      <sheetName val="3"/>
      <sheetName val="4"/>
      <sheetName val="5"/>
      <sheetName val="6"/>
      <sheetName val="8"/>
      <sheetName val="9"/>
      <sheetName val="b_balju_cho"/>
      <sheetName val="자재테이블"/>
      <sheetName val="4.2.1 마루높이 검토"/>
      <sheetName val=" 견적서"/>
      <sheetName val="토공(완충)"/>
      <sheetName val="관급현황"/>
      <sheetName val="기술조건"/>
      <sheetName val="1.내역(청.하역장전등)"/>
      <sheetName val="기계"/>
      <sheetName val="재료할증"/>
      <sheetName val="DTCT"/>
      <sheetName val="5호광장_(만점)2"/>
      <sheetName val="인천국제_(만점)_(2)2"/>
      <sheetName val="Total_단위경유량집계2"/>
      <sheetName val="토공유동표(전체_당초)2"/>
      <sheetName val="준검_내역서2"/>
      <sheetName val="1_수인터널2"/>
      <sheetName val="BH-1_(2)2"/>
      <sheetName val="표__지2"/>
      <sheetName val="投标材料清单_1"/>
      <sheetName val="앉음벽_(2)2"/>
      <sheetName val="4_전기2"/>
      <sheetName val="_HIT__HMC_견적_3900_2"/>
      <sheetName val="I_설계조건2"/>
      <sheetName val="7__현장관리비_2"/>
      <sheetName val="6__안전관리비2"/>
      <sheetName val="노원열병합__건축공사기성내역서2"/>
      <sheetName val="1_설계조건2"/>
      <sheetName val="조도계산서_(도서)2"/>
      <sheetName val="소포내역_(2)2"/>
      <sheetName val="MSS_22"/>
      <sheetName val="11_산출(전열)2"/>
      <sheetName val="6_산출(동력)2"/>
      <sheetName val="7_산출(TRAY)2"/>
      <sheetName val="5_산출(전력)1"/>
      <sheetName val="수량산출서(전력간선_지하D_C)1"/>
      <sheetName val="우수관매설및_우수받이2"/>
      <sheetName val="11_우각부_보강2"/>
      <sheetName val="제출내역_(2)2"/>
      <sheetName val="내___역1"/>
      <sheetName val="내역_ver1_02"/>
      <sheetName val="플랜트_설치1"/>
      <sheetName val="plan&amp;section_of_foundation2"/>
      <sheetName val="pile_bearing_capa_&amp;_arrenge2"/>
      <sheetName val="working_load_at_the_btm_ft_2"/>
      <sheetName val="stability_check2"/>
      <sheetName val="design_criteria2"/>
      <sheetName val="2_1__노무비_평균단가산출1"/>
      <sheetName val="3련_BOX2"/>
      <sheetName val="배수내역_(2)1"/>
      <sheetName val="배수공_시멘트_및_골재량_산출1"/>
      <sheetName val="A_견적1"/>
      <sheetName val="unit_41"/>
      <sheetName val="_HIT-&gt;HMC_견적(3900)1"/>
      <sheetName val="Customer_Databas1"/>
      <sheetName val="spc_배관견적1"/>
      <sheetName val="전_기1"/>
      <sheetName val="SHEET_PILE단가1"/>
      <sheetName val="목차_1"/>
      <sheetName val="화재_탐지_설비1"/>
      <sheetName val="6PILE__(돌출)1"/>
      <sheetName val="세골재__T2_변경_현황1"/>
      <sheetName val="BH_1__2_1"/>
      <sheetName val="개인별_순위표1"/>
      <sheetName val="1_취수장1"/>
      <sheetName val="Cash_Flow-11"/>
      <sheetName val="3_1공사현황_공정표1"/>
      <sheetName val="2차전체변경예정_(2)1"/>
      <sheetName val="노임_단가1"/>
      <sheetName val="내역서_1"/>
      <sheetName val="8_현장관리비1"/>
      <sheetName val="7_안전관리비1"/>
      <sheetName val="귀래_설계_공내역서1"/>
      <sheetName val="설_계1"/>
      <sheetName val="1_설계기준1"/>
      <sheetName val="집_계_표1"/>
      <sheetName val="별표_1"/>
      <sheetName val="도담구내_개소별_명세1"/>
      <sheetName val="노임단가_(2)1"/>
      <sheetName val="3_공통공사대비1"/>
      <sheetName val="단가_및_재료비1"/>
      <sheetName val="RETAIL_(ABOVE)1"/>
      <sheetName val="장비비_명세서11"/>
      <sheetName val="단___산"/>
      <sheetName val="실____단"/>
      <sheetName val="전선_및_전선관"/>
      <sheetName val="7_공정표1"/>
      <sheetName val="단면_(2)1"/>
      <sheetName val="5__현장관리비(new)_1"/>
      <sheetName val="내역서1999_8최종"/>
      <sheetName val="2_대외공문1"/>
      <sheetName val="Eq__Mobilization1"/>
      <sheetName val="노무비_근거"/>
      <sheetName val="제수변_수량집계표(보통)"/>
      <sheetName val="Sheet1_(2)"/>
      <sheetName val="장비_(2)"/>
      <sheetName val="3BL공동구_수량"/>
      <sheetName val="5_동별횡주관경"/>
      <sheetName val="암거_제원표"/>
      <sheetName val="도담구내_개소별_명柖"/>
      <sheetName val="CM_1"/>
      <sheetName val="_갑지"/>
      <sheetName val="6__수량산출서"/>
      <sheetName val="참조_(2)"/>
      <sheetName val="일위대가_"/>
      <sheetName val="4_LINE"/>
      <sheetName val="7_th"/>
      <sheetName val="danh_muc_vat_tu"/>
      <sheetName val="Register-BG_NCC"/>
      <sheetName val="Data_2"/>
      <sheetName val="TB_chính"/>
      <sheetName val="Steel_pipe"/>
      <sheetName val="Ref_pipe+Ins"/>
      <sheetName val="Plastic_pipe"/>
      <sheetName val="Air_Grilles"/>
      <sheetName val="Cost_bd-&quot;A&quot;"/>
      <sheetName val="매출그래프"/>
      <sheetName val="7_산출(⠀榅弁䘿_x0000_"/>
      <sheetName val="집계장"/>
      <sheetName val="품셈 "/>
      <sheetName val="음성cable"/>
      <sheetName val="M-EMS GP-570(BIT)"/>
      <sheetName val="Data&amp;Result"/>
      <sheetName val="제수문집계"/>
      <sheetName val="미장"/>
      <sheetName val="철골"/>
      <sheetName val="산출근거#2-3"/>
      <sheetName val="설계명세"/>
      <sheetName val="하조서"/>
      <sheetName val="2002상반기노임기준"/>
      <sheetName val="일반수량총괄집계"/>
      <sheetName val="일위대㐀븁"/>
      <sheetName val="일위대"/>
      <sheetName val="설변단가적용현황"/>
      <sheetName val="변경내역서"/>
      <sheetName val="투찰(하수)"/>
      <sheetName val="건축공사집계"/>
      <sheetName val="4. VOs summary"/>
      <sheetName val="125x125"/>
      <sheetName val="예총"/>
      <sheetName val="SEX"/>
      <sheetName val="Quantity"/>
      <sheetName val="TOSHIBA-Structure"/>
      <sheetName val="장비코드표 050601"/>
      <sheetName val="2007년 생산1부장비"/>
      <sheetName val="2008년 생산부전장비코드"/>
      <sheetName val="DDB부 장비 관리현황"/>
      <sheetName val="Xunit (단위환산)"/>
      <sheetName val="종단계산"/>
      <sheetName val="수량산출서 갑지"/>
      <sheetName val="과업지시서"/>
      <sheetName val="시운전"/>
      <sheetName val="시운전绸7"/>
      <sheetName val="1,2,3,4_x0000__x0000_界Þ多⽬"/>
      <sheetName val="문10"/>
      <sheetName val="단가비교표_공통1"/>
      <sheetName val="8.PILE  (돌출)"/>
      <sheetName val="1,2,3,4_x0005__x0000__x0000__x0000__x0000_"/>
      <sheetName val="수량계산"/>
      <sheetName val="일위산출"/>
      <sheetName val="용산1(해보)"/>
      <sheetName val="보활"/>
      <sheetName val="집행(2-1)"/>
      <sheetName val="인구"/>
      <sheetName val="개요2"/>
      <sheetName val="LD"/>
      <sheetName val="주bea?"/>
      <sheetName val="단가산출(T)"/>
      <sheetName val="6_산출닑⾱_x0005__x0000_"/>
      <sheetName val="2000.05"/>
      <sheetName val="장문교(대전)"/>
      <sheetName val="내역서 제출"/>
      <sheetName val="유지정비"/>
      <sheetName val="용역인건비"/>
      <sheetName val="JUCK"/>
      <sheetName val="TABLE DB"/>
      <sheetName val="쌍용 data base"/>
      <sheetName val="수량산출목록표"/>
      <sheetName val="정리계槜〚_x0000__x0000_䇀"/>
      <sheetName val="중기조종사 단위단가"/>
      <sheetName val="설계예산서(2_소천우회토목)"/>
      <sheetName val="ASP"/>
      <sheetName val="원_x0000__x0000_"/>
      <sheetName val="공사비예산서"/>
      <sheetName val="내역_verᔈ_x0000__x0000_"/>
      <sheetName val="계산_x0000__x0000_"/>
      <sheetName val="구조물터파기수량집계"/>
      <sheetName val="일위집계"/>
      <sheetName val="수토공단위당"/>
      <sheetName val="부안변전"/>
      <sheetName val="자재기성 신청서.xlsx"/>
      <sheetName val="10공-_x0000_Ԁ"/>
      <sheetName val="공사비예"/>
      <sheetName val="plan&amp;section_of__x0000__x0000__x0005__x0000_冰﹢Ƚ_x0000__x0000__x0000_"/>
      <sheetName val="소포내역_x0000__x0000__x0005__x0000_"/>
      <sheetName val="마감산출"/>
      <sheetName val="Chiet tinh dz35"/>
      <sheetName val="RATE"/>
      <sheetName val="공량·_x0000__x0000_"/>
      <sheetName val="공량×"/>
      <sheetName val="단가시흥"/>
      <sheetName val="단_x0005__x0000_"/>
      <sheetName val="3련_B䀀㽚"/>
      <sheetName val="신대방33(적용)"/>
      <sheetName val="오동"/>
      <sheetName val="대조"/>
      <sheetName val="나한"/>
      <sheetName val="Bảng mã VT"/>
      <sheetName val="돈암사업"/>
      <sheetName val="DATA LISTS"/>
      <sheetName val="6월세계"/>
      <sheetName val="19.07월.세.계"/>
      <sheetName val="19.07항목별(시트복사금지100번쓰기)"/>
      <sheetName val="7월정리"/>
      <sheetName val="카드전표"/>
      <sheetName val="05월"/>
      <sheetName val="05월정리"/>
      <sheetName val="4월항목별"/>
      <sheetName val="19.05월"/>
      <sheetName val="용역식대명세"/>
      <sheetName val="설원"/>
      <sheetName val="가로등내역서"/>
      <sheetName val="보고"/>
      <sheetName val="계정1"/>
      <sheetName val="design_crit_x0000__x0000__x0005__x0000_"/>
      <sheetName val="[입찰안.xls][입찰안.xls]직접뀀鞖/_x0000_"/>
      <sheetName val="[입찰안.xls]직접뀀鞖/_x0000_"/>
      <sheetName val="품셈총괄표"/>
      <sheetName val="시약"/>
      <sheetName val="내역(인테리어 실내)(도급)"/>
      <sheetName val="내역(인테리어 실외)(도급)"/>
      <sheetName val="9GNG운¼"/>
      <sheetName val="0.목록1"/>
      <sheetName val="7월11일"/>
      <sheetName val="요율표"/>
      <sheetName val="업체별기성내역"/>
      <sheetName val="사진첩"/>
      <sheetName val="공기압¬_x0000_Ԁ"/>
      <sheetName val="세부내역서"/>
      <sheetName val="납부서"/>
      <sheetName val="3련_Bꨀ덽"/>
      <sheetName val="working_load_at０ʵŚÃ堠ᴕ_x0000__x0000__x0000__x0000__x0000__x0000_"/>
      <sheetName val="조직관리비"/>
      <sheetName val="수선비"/>
      <sheetName val="원가명세"/>
      <sheetName val="사발차명세표"/>
      <sheetName val="손익"/>
      <sheetName val="분개장·원장"/>
      <sheetName val="제잡비1"/>
      <sheetName val="Gian"/>
      <sheetName val="일위총괄표"/>
      <sheetName val="토공_total"/>
      <sheetName val="공기압舓⿫"/>
      <sheetName val="기성(1차)_"/>
      <sheetName val="자단"/>
      <sheetName val="CB"/>
      <sheetName val="총괄집계표"/>
      <sheetName val="장비가동"/>
      <sheetName val="정리계槜で_x0000__x0000_ｐ"/>
      <sheetName val="정리계槜で_x0000__x0000_㟠"/>
      <sheetName val="外構・目次"/>
      <sheetName val="工場棟・目次"/>
      <sheetName val="事務棟・目次"/>
      <sheetName val="5호광장_(만점)3"/>
      <sheetName val="인천국제_(만점)_(2)3"/>
      <sheetName val="Total_단위경유량집계3"/>
      <sheetName val="준검_내역서3"/>
      <sheetName val="토공유동표(전체_당초)3"/>
      <sheetName val="1_수인터널3"/>
      <sheetName val="4_전기3"/>
      <sheetName val="BH-1_(2)3"/>
      <sheetName val="표__지3"/>
      <sheetName val="1_설계조건3"/>
      <sheetName val="조도계산서_(도서)3"/>
      <sheetName val="I_설계조건3"/>
      <sheetName val="11_우각부_보강3"/>
      <sheetName val="제출내역_(2)3"/>
      <sheetName val="우수관매설및_우수받이3"/>
      <sheetName val="11_산출(전열)3"/>
      <sheetName val="6_산출(동력)3"/>
      <sheetName val="7_산출(TRAY)3"/>
      <sheetName val="노원열병합__건축공사기성내역서3"/>
      <sheetName val="앉음벽_(2)3"/>
      <sheetName val="MSS_23"/>
      <sheetName val="2_1__노무비_평균단가산출2"/>
      <sheetName val="내역_ver1_03"/>
      <sheetName val="plan&amp;section_of_foundation3"/>
      <sheetName val="pile_bearing_capa_&amp;_arrenge3"/>
      <sheetName val="working_load_at_the_btm_ft_3"/>
      <sheetName val="stability_check3"/>
      <sheetName val="design_criteria3"/>
      <sheetName val="보고서_기기리스트2"/>
      <sheetName val="7__현장관리비_3"/>
      <sheetName val="6__안전관리비3"/>
      <sheetName val="3련_BOX3"/>
      <sheetName val="소포내역_(2)3"/>
      <sheetName val="배수공_시멘트_및_골재량_산출2"/>
      <sheetName val="_HIT__HMC_견적_3900_3"/>
      <sheetName val="배수내역_(2)2"/>
      <sheetName val="spc_배관견적2"/>
      <sheetName val="投标材料清单_2"/>
      <sheetName val="5_산출(전력)2"/>
      <sheetName val="수량산출서(전력간선_지하D_C)2"/>
      <sheetName val="내___역2"/>
      <sheetName val="플랜트_설치2"/>
      <sheetName val="A_견적2"/>
      <sheetName val="unit_42"/>
      <sheetName val="Customer_Databas2"/>
      <sheetName val="_HIT-&gt;HMC_견적(3900)2"/>
      <sheetName val="전_기2"/>
      <sheetName val="SHEET_PILE단가2"/>
      <sheetName val="목차_2"/>
      <sheetName val="화재_탐지_설비2"/>
      <sheetName val="6PILE__(돌출)2"/>
      <sheetName val="세골재__T2_변경_현황2"/>
      <sheetName val="BH_1__2_2"/>
      <sheetName val="개인별_순위표2"/>
      <sheetName val="1_취수장2"/>
      <sheetName val="Cash_Flow-12"/>
      <sheetName val="3_1공사현황_공정표2"/>
      <sheetName val="2차전체변경예정_(2)2"/>
      <sheetName val="노임_단가2"/>
      <sheetName val="내역서_2"/>
      <sheetName val="8_현장관리비2"/>
      <sheetName val="7_안전관리비2"/>
      <sheetName val="귀래_설계_공내역서2"/>
      <sheetName val="설_계2"/>
      <sheetName val="1_설계기준2"/>
      <sheetName val="집_계_표2"/>
      <sheetName val="별표_2"/>
      <sheetName val="도담구내_개소별_명세2"/>
      <sheetName val="도담구내_개소별_명柖1"/>
      <sheetName val="노임단가_(2)2"/>
      <sheetName val="3_공통공사대비2"/>
      <sheetName val="단___산1"/>
      <sheetName val="실____단1"/>
      <sheetName val="단가_및_재료비2"/>
      <sheetName val="전선_및_전선관1"/>
      <sheetName val="장비비_명세서12"/>
      <sheetName val="7_공정표2"/>
      <sheetName val="단면_(2)2"/>
      <sheetName val="RETAIL_(ABOVE)2"/>
      <sheetName val="5__현장관리비(new)_2"/>
      <sheetName val="내역서1999_8최종1"/>
      <sheetName val="2_대외공문2"/>
      <sheetName val="danh_muc_vat_tu1"/>
      <sheetName val="Register-BG_NCC1"/>
      <sheetName val="Data_21"/>
      <sheetName val="TB_chính1"/>
      <sheetName val="Steel_pipe1"/>
      <sheetName val="Ref_pipe+Ins1"/>
      <sheetName val="Plastic_pipe1"/>
      <sheetName val="Air_Grilles1"/>
      <sheetName val="Cost_bd-&quot;A&quot;1"/>
      <sheetName val="장비_(2)1"/>
      <sheetName val="3BL공동구_수량1"/>
      <sheetName val="5_동별횡주관경1"/>
      <sheetName val="암거_제원표1"/>
      <sheetName val="Sheet1_(2)1"/>
      <sheetName val="Eq__Mobilization2"/>
      <sheetName val="노무비_근거1"/>
      <sheetName val="제수변_수량집계표(보통)1"/>
      <sheetName val="1차_내역서1"/>
      <sheetName val="CM_11"/>
      <sheetName val="_갑지1"/>
      <sheetName val="6__수량산출서1"/>
      <sheetName val="참조_(2)1"/>
      <sheetName val="1_CB"/>
      <sheetName val="일위대가_1"/>
      <sheetName val="4_LINE1"/>
      <sheetName val="7_th1"/>
      <sheetName val="수량산출서_(2)"/>
      <sheetName val="습식및_셀프레벨링1"/>
      <sheetName val="BSD_(2)"/>
      <sheetName val="바_한일양산"/>
      <sheetName val="Project_Brief"/>
      <sheetName val="영업_일1"/>
      <sheetName val="기기_내역서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_소방공사_산출근거"/>
      <sheetName val="토공_토적표"/>
      <sheetName val="주bea"/>
      <sheetName val="4__VOs_summary"/>
      <sheetName val="변경명신물량_(2)"/>
      <sheetName val="전사_(2)"/>
      <sheetName val="BA_(2)"/>
      <sheetName val="CP_(2)"/>
      <sheetName val="Bảng_mã_VT"/>
      <sheetName val="Chiet_tinh_dz35"/>
      <sheetName val="기존단가_(2)"/>
      <sheetName val="Elec LG"/>
      <sheetName val="ESTI."/>
      <sheetName val="DI-ESTI"/>
      <sheetName val="1_MV"/>
      <sheetName val="gVL"/>
      <sheetName val="5호광장_(만점)4"/>
      <sheetName val="인천국제_(만점)_(2)4"/>
      <sheetName val="Total_단위경유량집계4"/>
      <sheetName val="준검_내역서4"/>
      <sheetName val="토공유동표(전체_당초)4"/>
      <sheetName val="1_수인터널4"/>
      <sheetName val="4_전기4"/>
      <sheetName val="BH-1_(2)4"/>
      <sheetName val="표__지4"/>
      <sheetName val="1_설계조건4"/>
      <sheetName val="조도계산서_(도서)4"/>
      <sheetName val="I_설계조건4"/>
      <sheetName val="11_우각부_보강4"/>
      <sheetName val="제출내역_(2)4"/>
      <sheetName val="우수관매설및_우수받이4"/>
      <sheetName val="11_산출(전열)4"/>
      <sheetName val="6_산출(동력)4"/>
      <sheetName val="7_산출(TRAY)4"/>
      <sheetName val="노원열병합__건축공사기성내역서4"/>
      <sheetName val="앉음벽_(2)4"/>
      <sheetName val="MSS_24"/>
      <sheetName val="2_1__노무비_평균단가산출3"/>
      <sheetName val="내역_ver1_04"/>
      <sheetName val="plan&amp;section_of_foundation4"/>
      <sheetName val="pile_bearing_capa_&amp;_arrenge4"/>
      <sheetName val="working_load_at_the_btm_ft_4"/>
      <sheetName val="stability_check4"/>
      <sheetName val="design_criteria4"/>
      <sheetName val="보고서_기기리스트3"/>
      <sheetName val="7__현장관리비_4"/>
      <sheetName val="6__안전관리비4"/>
      <sheetName val="3련_BOX4"/>
      <sheetName val="소포내역_(2)4"/>
      <sheetName val="배수공_시멘트_및_골재량_산출3"/>
      <sheetName val="_HIT__HMC_견적_3900_4"/>
      <sheetName val="배수내역_(2)3"/>
      <sheetName val="spc_배관견적3"/>
      <sheetName val="投标材料清单_3"/>
      <sheetName val="5_산출(전력)3"/>
      <sheetName val="수량산출서(전력간선_지하D_C)3"/>
      <sheetName val="내___역3"/>
      <sheetName val="플랜트_설치3"/>
      <sheetName val="A_견적3"/>
      <sheetName val="unit_43"/>
      <sheetName val="Customer_Databas3"/>
      <sheetName val="_HIT-&gt;HMC_견적(3900)3"/>
      <sheetName val="전_기3"/>
      <sheetName val="SHEET_PILE단가3"/>
      <sheetName val="목차_3"/>
      <sheetName val="화재_탐지_설비3"/>
      <sheetName val="6PILE__(돌출)3"/>
      <sheetName val="세골재__T2_변경_현황3"/>
      <sheetName val="BH_1__2_3"/>
      <sheetName val="개인별_순위표3"/>
      <sheetName val="1_취수장3"/>
      <sheetName val="Cash_Flow-13"/>
      <sheetName val="3_1공사현황_공정표3"/>
      <sheetName val="2차전체변경예정_(2)3"/>
      <sheetName val="노임_단가3"/>
      <sheetName val="내역서_3"/>
      <sheetName val="8_현장관리비3"/>
      <sheetName val="7_안전관리비3"/>
      <sheetName val="귀래_설계_공내역서3"/>
      <sheetName val="설_계3"/>
      <sheetName val="1_설계기준3"/>
      <sheetName val="집_계_표3"/>
      <sheetName val="별표_3"/>
      <sheetName val="도담구내_개소별_명세3"/>
      <sheetName val="도담구내_개소별_명柖2"/>
      <sheetName val="노임단가_(2)3"/>
      <sheetName val="3_공통공사대비3"/>
      <sheetName val="단___산2"/>
      <sheetName val="실____단2"/>
      <sheetName val="단가_및_재료비3"/>
      <sheetName val="전선_및_전선관2"/>
      <sheetName val="장비비_명세서13"/>
      <sheetName val="7_공정표3"/>
      <sheetName val="단면_(2)3"/>
      <sheetName val="RETAIL_(ABOVE)3"/>
      <sheetName val="5__현장관리비(new)_3"/>
      <sheetName val="내역서1999_8최종2"/>
      <sheetName val="2_대외공문3"/>
      <sheetName val="Cost_bd-&quot;A&quot;2"/>
      <sheetName val="danh_muc_vat_tu2"/>
      <sheetName val="Register-BG_NCC2"/>
      <sheetName val="Data_22"/>
      <sheetName val="TB_chính2"/>
      <sheetName val="Steel_pipe2"/>
      <sheetName val="Ref_pipe+Ins2"/>
      <sheetName val="Plastic_pipe2"/>
      <sheetName val="Air_Grilles2"/>
      <sheetName val="Sheet1_(2)2"/>
      <sheetName val="장비_(2)2"/>
      <sheetName val="3BL공동구_수량2"/>
      <sheetName val="5_동별횡주관경2"/>
      <sheetName val="암거_제원표2"/>
      <sheetName val="Eq__Mobilization3"/>
      <sheetName val="노무비_근거2"/>
      <sheetName val="제수변_수량집계표(보통)2"/>
      <sheetName val="1차_내역서2"/>
      <sheetName val="6__수량산출서2"/>
      <sheetName val="_갑지2"/>
      <sheetName val="1_CB1"/>
      <sheetName val="CM_12"/>
      <sheetName val="일위대가_2"/>
      <sheetName val="4_LINE2"/>
      <sheetName val="7_th2"/>
      <sheetName val="참조_(2)2"/>
      <sheetName val="수량산출서_(2)1"/>
      <sheetName val="토공_total1"/>
      <sheetName val="기성(1차)_1"/>
      <sheetName val="습식및_셀프레벨링2"/>
      <sheetName val="BSD_(2)1"/>
      <sheetName val="바_한일양산1"/>
      <sheetName val="Project_Brief1"/>
      <sheetName val="영업_일11"/>
      <sheetName val="기기_내역서1"/>
      <sheetName val="일위대가56-1_1"/>
      <sheetName val="일위대가71-1_1"/>
      <sheetName val="일위대가74-1_1"/>
      <sheetName val="일위대가76-1_1"/>
      <sheetName val="일위대가77-1_1"/>
      <sheetName val="일위대가78-1_1"/>
      <sheetName val="_소방공사_산출근거1"/>
      <sheetName val="토공_토적표1"/>
      <sheetName val="4__VOs_summary1"/>
      <sheetName val="변경명신물량_(2)1"/>
      <sheetName val="전사_(2)1"/>
      <sheetName val="BA_(2)1"/>
      <sheetName val="CP_(2)1"/>
      <sheetName val="Bảng_mã_VT1"/>
      <sheetName val="Chiet_tinh_dz351"/>
      <sheetName val="기존단가_(2)1"/>
      <sheetName val="電気設備表"/>
      <sheetName val="预算"/>
      <sheetName val="받을어음"/>
      <sheetName val="시작"/>
      <sheetName val="투자자산"/>
      <sheetName val="대손상각"/>
      <sheetName val="Translation"/>
      <sheetName val="HS"/>
      <sheetName val="D &amp; W sizes"/>
      <sheetName val="単価表"/>
      <sheetName val="Gia vat tu"/>
      <sheetName val="DI_ESTI"/>
      <sheetName val="dtct cong"/>
      <sheetName val="물가시세"/>
      <sheetName val="수량"/>
      <sheetName val="토공집계표"/>
      <sheetName val="공사비증감"/>
      <sheetName val="VXXXXXXX"/>
      <sheetName val="자재대"/>
      <sheetName val="참조표"/>
      <sheetName val="전기2005"/>
      <sheetName val="통신2005"/>
      <sheetName val="조도계산서Å_x0000_Ԁ_x0000__x0000_"/>
      <sheetName val="조도계산서Å_x0000_Ԁ_x0000_耀"/>
      <sheetName val="수량산출서집계(_x0000__x0000__x0005__x0000_"/>
      <sheetName val="수량산출서집계(_x0000__x0000__x0005__x0000_瞀"/>
      <sheetName val="교량전기"/>
      <sheetName val="만봉용지매수비(총괄)"/>
      <sheetName val="뚝토공"/>
      <sheetName val="아파트_"/>
      <sheetName val="Xunit_(단위환산)"/>
      <sheetName val="장비코드표_050601"/>
      <sheetName val="2007년_생산1부장비"/>
      <sheetName val="2008년_생산부전장비코드"/>
      <sheetName val="DDB부_장비_관리현황"/>
      <sheetName val="01. DATA"/>
      <sheetName val="BG"/>
      <sheetName val="LEGEND"/>
      <sheetName val="NOTE"/>
      <sheetName val="SCOPE OF WORK"/>
      <sheetName val="IBASE"/>
      <sheetName val="DGCT (01)"/>
      <sheetName val="Chi tiet"/>
      <sheetName val="FitOutConfCentre"/>
      <sheetName val="CONCRETE"/>
      <sheetName val="거래처CODE"/>
      <sheetName val="노.표-조"/>
      <sheetName val="부안일위"/>
      <sheetName val="DHEQ㧈讄䰀漐"/>
      <sheetName val="일위대가(집계_x0000_"/>
      <sheetName val="차량(구)"/>
      <sheetName val="갑지_을지"/>
      <sheetName val="2-2_매출분석"/>
      <sheetName val="설명서_"/>
      <sheetName val="유효폭의_계산"/>
      <sheetName val="STEEL_BOX_단면설계(SEC_8)"/>
      <sheetName val="미납품_현황"/>
      <sheetName val="05년_상"/>
      <sheetName val="영흥TL(UP,DOWN)_"/>
      <sheetName val="단양_00_아파트-세부내역"/>
      <sheetName val="2_단면가정_(양곡1교)"/>
      <sheetName val="자격_땡겨오기"/>
      <sheetName val="갑지_설계_내역서"/>
      <sheetName val="표지_(2)"/>
      <sheetName val="ITB_COST"/>
      <sheetName val="8_PILE__(돌출)"/>
      <sheetName val="1_내역(청_하역장전등)"/>
      <sheetName val="4_2_1_마루높이_검토"/>
      <sheetName val="수량산출서_갑지"/>
      <sheetName val="_견적서"/>
      <sheetName val="내역서_제출"/>
      <sheetName val="pile_bearing_capa_&amp;_¬웰ﾕ쀀_x0005_"/>
      <sheetName val="pile_bearing_capa_&amp;_¬웰ﾕ_x0000_ﳪ_x0005_"/>
      <sheetName val="cal1"/>
      <sheetName val="bqmpaloc"/>
      <sheetName val="nhôm 1,2mm"/>
      <sheetName val="nhôm 1,4mm"/>
      <sheetName val="5호광장_(만점)5"/>
      <sheetName val="인천국제_(만점)_(2)5"/>
      <sheetName val="Total_단위경유량집계5"/>
      <sheetName val="토공유동표(전체_당초)5"/>
      <sheetName val="준검_내역서5"/>
      <sheetName val="1_수인터널5"/>
      <sheetName val="BH-1_(2)5"/>
      <sheetName val="표__지5"/>
      <sheetName val="投标材料清单_4"/>
      <sheetName val="4_전기5"/>
      <sheetName val="1_설계조건5"/>
      <sheetName val="조도계산서_(도서)5"/>
      <sheetName val="I_설계조건5"/>
      <sheetName val="11_우각부_보강5"/>
      <sheetName val="제출내역_(2)5"/>
      <sheetName val="우수관매설및_우수받이5"/>
      <sheetName val="11_산출(전열)5"/>
      <sheetName val="6_산출(동력)5"/>
      <sheetName val="7_산출(TRAY)5"/>
      <sheetName val="노원열병합__건축공사기성내역서5"/>
      <sheetName val="앉음벽_(2)5"/>
      <sheetName val="MSS_25"/>
      <sheetName val="2_1__노무비_평균단가산출4"/>
      <sheetName val="내역_ver1_05"/>
      <sheetName val="plan&amp;section_of_foundation5"/>
      <sheetName val="pile_bearing_capa_&amp;_arrenge5"/>
      <sheetName val="working_load_at_the_btm_ft_5"/>
      <sheetName val="stability_check5"/>
      <sheetName val="design_criteria5"/>
      <sheetName val="보고서_기기리스트4"/>
      <sheetName val="7__현장관리비_5"/>
      <sheetName val="6__안전관리비5"/>
      <sheetName val="3련_BOX5"/>
      <sheetName val="소포내역_(2)5"/>
      <sheetName val="배수공_시멘트_및_골재량_산출4"/>
      <sheetName val="_HIT__HMC_견적_3900_5"/>
      <sheetName val="배수내역_(2)4"/>
      <sheetName val="spc_배관견적4"/>
      <sheetName val="5_산출(전력)4"/>
      <sheetName val="수량산출서(전력간선_지하D_C)4"/>
      <sheetName val="내___역4"/>
      <sheetName val="플랜트_설치4"/>
      <sheetName val="A_견적4"/>
      <sheetName val="unit_44"/>
      <sheetName val="Customer_Databas4"/>
      <sheetName val="_HIT-&gt;HMC_견적(3900)4"/>
      <sheetName val="전_기4"/>
      <sheetName val="SHEET_PILE단가4"/>
      <sheetName val="목차_4"/>
      <sheetName val="화재_탐지_설비4"/>
      <sheetName val="6PILE__(돌출)4"/>
      <sheetName val="세골재__T2_변경_현황4"/>
      <sheetName val="BH_1__2_4"/>
      <sheetName val="개인별_순위표4"/>
      <sheetName val="1_취수장4"/>
      <sheetName val="Cash_Flow-14"/>
      <sheetName val="3_1공사현황_공정표4"/>
      <sheetName val="2차전체변경예정_(2)4"/>
      <sheetName val="노임_단가4"/>
      <sheetName val="내역서_4"/>
      <sheetName val="8_현장관리비4"/>
      <sheetName val="7_안전관리비4"/>
      <sheetName val="귀래_설계_공내역서4"/>
      <sheetName val="설_계4"/>
      <sheetName val="1_설계기준4"/>
      <sheetName val="집_계_표4"/>
      <sheetName val="별표_4"/>
      <sheetName val="도담구내_개소별_명세4"/>
      <sheetName val="도담구내_개소별_명柖3"/>
      <sheetName val="danh_muc_vat_tu3"/>
      <sheetName val="Register-BG_NCC3"/>
      <sheetName val="Data_23"/>
      <sheetName val="TB_chính3"/>
      <sheetName val="Steel_pipe3"/>
      <sheetName val="Ref_pipe+Ins3"/>
      <sheetName val="Plastic_pipe3"/>
      <sheetName val="Air_Grilles3"/>
      <sheetName val="노임단가_(2)4"/>
      <sheetName val="3_공통공사대비4"/>
      <sheetName val="단___산3"/>
      <sheetName val="실____단3"/>
      <sheetName val="단가_및_재료비4"/>
      <sheetName val="전선_및_전선관3"/>
      <sheetName val="장비비_명세서14"/>
      <sheetName val="7_공정표4"/>
      <sheetName val="단면_(2)4"/>
      <sheetName val="RETAIL_(ABOVE)4"/>
      <sheetName val="5__현장관리비(new)_4"/>
      <sheetName val="내역서1999_8최종3"/>
      <sheetName val="2_대외공문4"/>
      <sheetName val="Cost_bd-&quot;A&quot;3"/>
      <sheetName val="Sheet1_(2)3"/>
      <sheetName val="1차_내역서3"/>
      <sheetName val="장비_(2)3"/>
      <sheetName val="3BL공동구_수량3"/>
      <sheetName val="5_동별횡주관경3"/>
      <sheetName val="암거_제원표3"/>
      <sheetName val="Eq__Mobilization4"/>
      <sheetName val="노무비_근거3"/>
      <sheetName val="제수변_수량집계표(보통)3"/>
      <sheetName val="CM_13"/>
      <sheetName val="_갑지3"/>
      <sheetName val="6__수량산출서3"/>
      <sheetName val="참조_(2)3"/>
      <sheetName val="1_CB2"/>
      <sheetName val="일위대가_3"/>
      <sheetName val="4_LINE3"/>
      <sheetName val="7_th3"/>
      <sheetName val="수량산출서_(2)2"/>
      <sheetName val="토공_total2"/>
      <sheetName val="기성(1차)_2"/>
      <sheetName val="습식및_셀프레벨링3"/>
      <sheetName val="BSD_(2)2"/>
      <sheetName val="바_한일양산2"/>
      <sheetName val="Project_Brief2"/>
      <sheetName val="영업_일12"/>
      <sheetName val="기기_내역서2"/>
      <sheetName val="4__VOs_summary2"/>
      <sheetName val="일위대가56-1_2"/>
      <sheetName val="일위대가71-1_2"/>
      <sheetName val="일위대가74-1_2"/>
      <sheetName val="일위대가76-1_2"/>
      <sheetName val="일위대가77-1_2"/>
      <sheetName val="일위대가78-1_2"/>
      <sheetName val="_소방공사_산출근거2"/>
      <sheetName val="토공_토적표2"/>
      <sheetName val="변경명신물량_(2)2"/>
      <sheetName val="전사_(2)2"/>
      <sheetName val="BA_(2)2"/>
      <sheetName val="CP_(2)2"/>
      <sheetName val="Bảng_mã_VT2"/>
      <sheetName val="Chiet_tinh_dz352"/>
      <sheetName val="기존단가_(2)2"/>
      <sheetName val="Elec_LG"/>
      <sheetName val="ESTI_"/>
      <sheetName val="D_&amp;_W_sizes"/>
      <sheetName val="Gia_vat_tu"/>
      <sheetName val="dtct_cong"/>
      <sheetName val="DATA_LISTS"/>
      <sheetName val="Phan tich ca may"/>
      <sheetName val="Chenh lech ca may"/>
      <sheetName val="TLg CN&amp;Laixe"/>
      <sheetName val="TLg CN&amp;Laixe (2)"/>
      <sheetName val="TLg Laitau"/>
      <sheetName val="TLg Laitau (2)"/>
      <sheetName val="0"/>
      <sheetName val="Cọc nhồi"/>
      <sheetName val="SCOPE_OF_WORK"/>
      <sheetName val="Gia VLNCMTC"/>
      <sheetName val="BIDDING-SUM"/>
      <sheetName val="ጵ_x0000__x0000_Ոጶ_x0000__x0000_sጷ_x0000__x0000_״ጸ_x0000__x0000_ ጿ_x0000__x0000_¬ጿ_x0000__x0000_׭ጊ"/>
      <sheetName val="ጲ_x0000__x0000_Ոፍ_x0000__x0000_sጳ_x0000__x0000_1ጳ_x0000__x0000_᬴ጴ_x0000__x0000_෠ጳ_x0000__x0000_ග"/>
      <sheetName val="ጳ_x0000__x0000_Ոጴ_x0000__x0000_sጳ_x0000__x0000_aጳ_x0000__x0000_iጴ_x0000__x0000_cጵ_x0000__x0000_k"/>
      <sheetName val="ጳ_x0000__x0000_Ոጳ_x0000__x0000_sጴ_x0000__x0000_sጳ_x0000__x0000_ ጳ_x0000__x0000_tጴ_x0000__x0000_a"/>
      <sheetName val="ጳ_x0000__x0000_Ոጳ_x0000__x0000_sጴ_x0000__x0000_~ጳ_x0000__x0000_ఄጳ_x0000__x0000_᪅ጴ_x0000__x0000_)"/>
      <sheetName val="ፋ_x0000__x0000_Ոፌ_x0000__x0000_sጿ_x0000__x0000_೵ጿ_x0000__x0000_ኸጊ_x0000__x0000_೨ጱ_x0000__x0000_°ጲ"/>
      <sheetName val="ጴ_x0000__x0000_Ոጳ_x0000__x0000_sጳ_x0000__x0000_°ጴ_x0000__x0000_ࠄጵ_x0000__x0000__ጶ_x0000__x0000_)"/>
      <sheetName val="ጿ_x0000__x0000_Ոጊ_x0000__x0000_sጱ_x0000__x0000_°ጲ_x0000__x0000_ࠄፍ_x0000__x0000__ጳ_x0000__x0000_ࠄጳ"/>
      <sheetName val="ጱ_x0000__x0000_Ոጼ_x0000__x0000_sፍ_x0000__x0000_°ጳ_x0000__x0000_ࠄጳ_x0000__x0000__ጴ_x0000__x0000_.ጳ_x0000_"/>
      <sheetName val="ጴ_x0000__x0000_Ոጳ_x0000__x0000_sጳ_x0000__x0000_°ጴ_x0000__x0000_ࠄጵ_x0000__x0000__ጶ_x0000__x0000_"/>
      <sheetName val="ጷ_x0000__x0000_Ոጸ_x0000__x0000_sጿ_x0000__x0000_°ጿ_x0000__x0000_ࠄጊ간선_서관)"/>
      <sheetName val="ጿ_x0000__x0000_Ոጿ_x0000__x0000_sጊ_x0000__x0000_״ጱ_x0000__x0000__ጲ_x0000__x0000_¬ፍ_x0000__x0000_׭ጳ"/>
      <sheetName val="ጵ_x0000__x0000_Ոጶ_x0000__x0000_sጷ_x0000__x0000_aጸ_x0000__x0000_iጿ_x0000__x0000_cጿ_x0000__x0000_k"/>
      <sheetName val="ጿ_x0000__x0000_Ոጊ_x0000__x0000_sጊ_x0000__x0000_sጱ_x0000__x0000__ጲ_x0000__x0000_tፍ_x0000__x0000_a"/>
      <sheetName val="ጳ_x0000__x0000_Ոጳ_x0000__x0000_sጴ_x0000__x0000_nጵ_x0000__x0000_uጶ_x0000__x0000_aጷ_x0000__x0000_u"/>
      <sheetName val="ጳ_x0000__x0000_Ոጳ_x0000__x0000_sጴ_x0000__x0000_gጴ_x0000__x0000_eፊ_x0000__x0000_Gጵ_x0000__x0000_C"/>
      <sheetName val="ጳ_x0000__x0000_Ոጴ_x0000__x0000_sጳ_x0000__x0000_Tጳ_x0000__x0000_ ጴ_x0000__x0000_Oጵ_x0000__x0000_"/>
      <sheetName val="ጵ_x0000__x0000_Ոፋ_x0000__x0000_sፌ_x0000__x0000_ ጿ_x0000__x0000_᦬ጿ_x0000__x0000_eጊ_x0000__x0000_"/>
      <sheetName val="ጻ_x0000__x0000_Ոጻ_x0000__x0000_sጱ_x0000__x0000_൭ጲ_x0000__x0000_᧌ድ_x0000__x0000_(ጳ_x0000__x0000_"/>
      <sheetName val="ጿ_x0000__x0000_Ոጿ_x0000__x0000_sጊ_x0000__x0000_tጊ_x0000__x0000_የጱ_x0000__x0000_៉ጲ_x0000__x0000_"/>
      <sheetName val="ጴ_x0000__x0000_Ոጾ_x0000__x0000_sጶ_x0000__x0000_״ጷ_x0000__x0000__ፓ_x0000__x0000_¬ፔ_x0000__x0000_׭ፔ_x0000_"/>
      <sheetName val="ጴ_x0000__x0000_Ոጳ_x0000__x0000_sጳ_x0000__x0000_°ጴ_x0000__x0000_ࠄጴ_x0000__x0000__ፊ_x0000__x0000__ጵ_x0000_"/>
      <sheetName val="ጶ_x0000__x0000_Ոጷ_x0000__x0000_sጸ_x0000__x0000_aጿ_x0000__x0000_iጿ_x0000__x0000_cጊ_x0000__x0000_kጊ"/>
      <sheetName val="ጳ_x0000__x0000_Ոጳ_x0000__x0000_sጴ_x0000__x0000_sጳ_x0000__x0000__ጳ_x0000__x0000_tጴ_x0000__x0000_aጵ"/>
      <sheetName val="ጊ_x0000__x0000_Ոጊ_x0000__x0000_sጊ_x0000__x0000_1ጱ_x0000__x0000_᬴ጲ_x0000__x0000_෠ድ_x0000__x0000_ග"/>
      <sheetName val="ጸ_x0000__x0000_Ոጿ_x0000__x0000_sጿ_x0000__x0000_೵ጊ_x0000__x0000_ኸጊ_x0000__x0000_೨ጱ_x0000__x0000_°ጲ"/>
      <sheetName val="ጳ_x0000__x0000_Ոጳ_x0000__x0000_sጴ_x0000__x0000_sጵ_x0000__x0000_eጶ_x0000__x0000_aጷ_x0000__x0000_aጸ"/>
      <sheetName val="ጴ_x0000__x0000_Ոጵ_x0000__x0000_sጶ_x0000__x0000_.ጷ_x0000__x0000_bጸ_x0000__x0000_zጿ_x0000__x0000_oጿ"/>
      <sheetName val="ፍ_x0000__x0000_Ոጳ_x0000__x0000_sጳ_x0000__x0000__ጴ_x0000__x0000_bጳ_x0000__x0000_zጳ_x0000__x0000_oጴ"/>
      <sheetName val="ጊ_x0000__x0000_Ոጱ_x0000__x0000_sጼ_x0000__x0000__ፐ_x0000__x0000_᦬ፑ_x0000__x0000_eፑ_x0000__x0000_"/>
      <sheetName val="ጳ_x0000__x0000_Ոጴ_x0000__x0000_sጵ_x0000__x0000_Tጶ_x0000__x0000__ጷ_x0000__x0000_Oጸ_x0000__x0000_"/>
      <sheetName val="ጊ_x0000__x0000_Ոጊ_x0000__x0000_sጱ_x0000__x0000_Sጲ_x0000__x0000_Aፍ_x0000__x0000_rጳ_x0000__x0000_uጳ_x0000_"/>
      <sheetName val="ጊ_x0000__x0000_Ոጊ_x0000__x0000_sጊ_x0000__x0000_ ጊ_x0000__x0000_ ጱ_x0000__x0000_mጲ_x0000__x0000_"/>
      <sheetName val="ጿ_x0000__x0000_Ոጊ_x0000__x0000_sጱ_x0000__x0000_᯸ጲ_x0000__x0000_Vፍ_x0000__x0000_kጳ_x0000__x0000_"/>
      <sheetName val="ጳ_x0000__x0000_Ոጴ_x0000__x0000_sጵ_x0000__x0000_൭ጶ_x0000__x0000_᧌ጷ_x0000__x0000_(ጸ_x0000__x0000_"/>
      <sheetName val="ጳ_x0000__x0000_Ոጴ_x0000__x0000_sጵ_x0000__x0000_tጶ_x0000__x0000_የጷ_x0000__x0000_៉ጸ_x0000__x0000_"/>
      <sheetName val="ጊ_x0000__x0000_Ոጱ_x0000__x0000_sጲ_x0000__x0000_״ፍ_x0000__x0000__ጳ_x0000__x0000_¬ጳ_x0000__x0000_׭ጴ_x0000_"/>
      <sheetName val="ጴ_x0000__x0000_Ոጵ_x0000__x0000_sጶ_x0000__x0000_aጷ_x0000__x0000_iጸ_x0000__x0000_cጿ_x0000__x0000_kጿ"/>
      <sheetName val="ጱ_x0000__x0000_Ոጲ_x0000__x0000_sፍ_x0000__x0000_sጳ_x0000__x0000__ጳ_x0000__x0000_tጴ_x0000__x0000_aጳ"/>
      <sheetName val="ጵ_x0000__x0000_Ոጶ_x0000__x0000_sጷ_x0000__x0000_1ጸ_x0000__x0000_᬴ጿ_x0000__x0000_෠ጿ_x0000__x0000_ගጊ"/>
      <sheetName val="ጊ_x0000__x0000_Ոጱ_x0000__x0000_sጲ_x0000__x0000_೵ፍ_x0000__x0000_ኸጳ_x0000__x0000_೨ጳ_x0000__x0000_°ጴ_x0000_"/>
      <sheetName val="ጱ_x0000__x0000_Ոጲ_x0000__x0000_sፍ_x0000__x0000_sጳ_x0000__x0000_eጳ_x0000__x0000_aጴ_x0000__x0000_aጳ_x0000_"/>
      <sheetName val="ጲ_x0000__x0000_Ոፍ_x0000__x0000_sጳ_x0000__x0000_ެጳ_x0000__x0000_2ጴ_x0000__x0000__ጳ_x0000__x0000_"/>
      <sheetName val="ጴ_x0000__x0000_Ոጳ_x0000__x0000_sጳ_x0000__x0000_Tጴ_x0000__x0000__ጵ_x0000__x0000_Oጶ_x0000__x0000_1"/>
      <sheetName val="ጵ_x0000__x0000_Ոፋ_x0000__x0000_sፌ_x0000__x0000__ጿ_x0000__x0000_᦬ጿ_x0000__x0000_eጊ_x0000__x0000_1"/>
      <sheetName val="ጴ_x0000__x0000_Ոፊ_x0000__x0000_sጵ_x0000__x0000__ፋ_x0000__x0000_bፌ_x0000__x0000_zጿ_x0000__x0000_oጿ_x0000_"/>
      <sheetName val="ጊ_x0000__x0000_Ոጱ_x0000__x0000_sጲ_x0000__x0000_nድ_x0000__x0000_uጳ_x0000__x0000_aጳ_x0000__x0000_u"/>
      <sheetName val="ድ_x0000__x0000_Ոጳ_x0000__x0000_sጳ_x0000__x0000_gጴ_x0000__x0000_eጳ_x0000__x0000_Gጳ_x0000__x0000_C"/>
      <sheetName val="ጳ_x0000__x0000_Ոጳ_x0000__x0000_sጴ_x0000__x0000_iጳ_x0000__x0000_tጳ_x0000__x0000_ ጴ_x0000__x0000_5"/>
      <sheetName val="ፊ_x0000__x0000_Ոጵ_x0000__x0000_sፋ_x0000__x0000_൭ፌ_x0000__x0000_᧌ጿ_x0000__x0000_(ጿ_x0000__x0000_"/>
      <sheetName val="ጳ_x0000__x0000_Ոጳ_x0000__x0000_sጴ_x0000__x0000_tጴ_x0000__x0000_የፊ_x0000__x0000_៉ጵ_x0000__x0000_"/>
      <sheetName val="ጳ_x0000__x0000_Ոጴ_x0000__x0000_sጳ_x0000__x0000_״ጳ_x0000__x0000__ጴ_x0000__x0000_¬ጴ_x0000__x0000_׭ፊ_x0000_"/>
      <sheetName val="ጳ_x0000__x0000_Ոጳ_x0000__x0000_sጴ_x0000__x0000_1ጳ_x0000__x0000_᬴ጳ_x0000__x0000_෠ጴ_x0000__x0000_ගጵ"/>
      <sheetName val="ፌ_x0000__x0000_Ոጿ_x0000__x0000_sጿ_x0000__x0000_aጊ_x0000__x0000_iጱ_x0000__x0000_cጲ_x0000__x0000_kድ"/>
      <sheetName val="ፌ_x0000__x0000_Ոጿ_x0000__x0000_sጿ_x0000__x0000_sጊ_x0000__x0000__ጊ_x0000__x0000_tጊ_x0000__x0000_aጱ"/>
      <sheetName val="ጴ_x0000__x0000_Ոጴ_x0000__x0000_sፊ_x0000__x0000_೵ጵ_x0000__x0000_ኸፋ_x0000__x0000_೨ፌ_x0000__x0000_°ጿ_x0000_"/>
      <sheetName val="ጸ_x0000__x0000_Ոጿ_x0000__x0000_sጿ_x0000__x0000_sጊ_x0000__x0000_eጊ_x0000__x0000_aጊ_x0000__x0000_aጊ_x0000_"/>
      <sheetName val="ጿ_x0000__x0000_Ոጿ_x0000__x0000_sጊ_x0000__x0000_ެጊ_x0000__x0000_2ጊ_x0000__x0000__ጱ_x0000__x0000_"/>
      <sheetName val="ጊ_x0000__x0000_Ոጊ_x0000__x0000_sጊ_x0000__x0000_Tጱ_x0000__x0000__ጲ_x0000__x0000_Oድ_x0000__x0000_2"/>
      <sheetName val="ጿ_x0000__x0000_Ոጊ_x0000__x0000_sጊ_x0000__x0000__ጊ_x0000__x0000_᦬ጊ_x0000__x0000_eጱ_x0000__x0000_2"/>
      <sheetName val="ጳ_x0000__x0000_Ոጴ_x0000__x0000_sጳ_x0000__x0000_nጳ_x0000__x0000_uጴ_x0000__x0000_aጵ_x0000__x0000_uጶ"/>
      <sheetName val="ጴ_x0000__x0000_Ոጳ_x0000__x0000_sጳ_x0000__x0000_gጴ_x0000__x0000_eጴ_x0000__x0000_Gፊ_x0000__x0000_Cጵ"/>
      <sheetName val="ጿ_x0000__x0000_Ոጿ_x0000__x0000_sጊ_x0000__x0000__ጊ_x0000__x0000_bጊ_x0000__x0000_zጊ_x0000__x0000_oጱ_x0000_"/>
      <sheetName val="ፋ_x0000__x0000_Ոፌ_x0000__x0000_sጿ_x0000__x0000_᳀ጿ_x0000__x0000_৑ጊ_x0000__x0000_᳴ጱ_x0000__x0000_"/>
      <sheetName val="ድ_x0000__x0000_Ոጳ_x0000__x0000_sጳ_x0000__x0000__ጴ_x0000__x0000__ጳ_x0000__x0000_mጳ_x0000__x0000_"/>
      <sheetName val="ጵ_x0000__x0000_Ոፋ_x0000__x0000_sፌ_x0000__x0000_iጿ_x0000__x0000_tጿ_x0000__x0000__ጊ_x0000__x0000_5"/>
      <sheetName val="ጿ_x0000__x0000_Ոጊ_x0000__x0000_sጊ_x0000__x0000_൭ጊ_x0000__x0000_᧌ጱ_x0000__x0000_(ጲ_x0000__x0000_"/>
      <sheetName val="ጊ_x0000__x0000_Ոጊ_x0000__x0000_sጱ_x0000__x0000_tጲ_x0000__x0000_የድ_x0000__x0000_៉ጳ_x0000__x0000_"/>
      <sheetName val="ጲ_x0000__x0000_Ոድ_x0000__x0000_sጳ_x0000__x0000_״ጳ_x0000__x0000__ጴ_x0000__x0000_¬ጳ_x0000__x0000_׭ጳ_x0000_"/>
      <sheetName val="ጱ_x0000__x0000_Ոጲ_x0000__x0000_sድ_x0000__x0000_1ጳ_x0000__x0000_᬴ጳ_x0000__x0000_෠ጴ_x0000__x0000_ගጳ"/>
      <sheetName val="ጳ_x0000__x0000_Ոጴ_x0000__x0000_sጴ_x0000__x0000_aፊ_x0000__x0000_iጵ_x0000__x0000_cፋ_x0000__x0000_kፌ"/>
      <sheetName val="ጴ_x0000__x0000_Ոጳ_x0000__x0000_sጳ_x0000__x0000_sጴ_x0000__x0000__ጴ_x0000__x0000_tፊ_x0000__x0000_aጵ"/>
      <sheetName val="ጳ_x0000__x0000_Ոጴ_x0000__x0000_sጳ_x0000__x0000_೵ጳ_x0000__x0000_ኸጴ_x0000__x0000_೨ጴ_x0000__x0000_°ፊ_x0000_"/>
      <sheetName val="ጳ_x0000__x0000_Ոጳ_x0000__x0000_sጴ_x0000__x0000_sጳ_x0000__x0000_eጳ_x0000__x0000_aጴ_x0000__x0000_aጴ_x0000_"/>
      <sheetName val="ፋ_x0000__x0000_Ոፌ_x0000__x0000_sጿ_x0000__x0000_ެጿ_x0000__x0000_2ጊ_x0000__x0000__ጊ_x0000__x0000_"/>
      <sheetName val="ጳ_x0000__x0000_Ոጴ_x0000__x0000_sጵ_x0000__x0000_Tጶ_x0000__x0000__ጷ_x0000__x0000_Oጸ_x0000__x0000_3"/>
      <sheetName val="ጊ_x0000__x0000_Ոጊ_x0000__x0000_sጱ_x0000__x0000__ጲ_x0000__x0000_᦬ድ_x0000__x0000_eጳ_x0000__x0000_3"/>
      <sheetName val="ጵ_x0000__x0000_Ոጶ_x0000__x0000_sጷ_x0000__x0000_nጸ_x0000__x0000_uጿ_x0000__x0000_aጿ_x0000__x0000_uጊ"/>
      <sheetName val="ጷ_x0000__x0000_Ոጸ_x0000__x0000_sጿ_x0000__x0000_gጿ_x0000__x0000_eጊ_x0000__x0000_Gጱ_x0000__x0000_Cጲ"/>
      <sheetName val="ጊ_x0000__x0000_Ոጱ_x0000__x0000_sጲ_x0000__x0000__ድ_x0000__x0000_bጳ_x0000__x0000_zጳ_x0000__x0000_oጴ_x0000_"/>
      <sheetName val="ጴ_x0000__x0000_Ոጵ_x0000__x0000_sጶ_x0000__x0000_᳀ጷ_x0000__x0000_৑ጸ_x0000__x0000_᳴ጿ_x0000__x0000_"/>
      <sheetName val="ጿ_x0000__x0000_Ոጊ_x0000__x0000_sጊ_x0000__x0000_oጱ_x0000__x0000_tጲ_x0000__x0000_iድ_x0000__x0000_"/>
      <sheetName val="ጶ_x0000__x0000_Ոጷ_x0000__x0000_sጸ_x0000__x0000__ጿ_x0000__x0000__ጿ_x0000__x0000_mጊ_x0000__x0000_1"/>
      <sheetName val="ድ_x0000__x0000_Ոጳ_x0000__x0000_sጳ_x0000__x0000_iጴ_x0000__x0000_tጳ_x0000__x0000__ጳ_x0000__x0000_5ጴ"/>
      <sheetName val="ጳ_x0000__x0000_Ոጴ_x0000__x0000_sጵ_x0000__x0000_0ጶ_x0000__x0000_Ýጷ_x0000__x0000_ޥጸ_x0000__x0000_"/>
      <sheetName val="ጳ_x0000__x0000_Ոጳ_x0000__x0000_sጴ_x0000__x0000_0ጵ_x0000__x0000_Ýጶ_x0000__x0000_ޥጷ_x0000__x0000_"/>
      <sheetName val="ጴ_x0000__x0000_Ոጳ_x0000__x0000_sጳ_x0000__x0000_tጴ_x0000__x0000_Cጵ_x0000__x0000_Cጶ_x0000__x0000_rጷ"/>
      <sheetName val="제품마스터"/>
      <sheetName val="chitiet"/>
      <sheetName val="Config"/>
      <sheetName val="Chiet tinh don gia CM"/>
      <sheetName val="ptvt"/>
      <sheetName val="Xunit_(단위환산)1"/>
      <sheetName val="아파트_1"/>
      <sheetName val="장비코드표_0506011"/>
      <sheetName val="2007년_생산1부장비1"/>
      <sheetName val="2008년_생산부전장비코드1"/>
      <sheetName val="DDB부_장비_관리현황1"/>
      <sheetName val="DGCT_(01)"/>
      <sheetName val="Chi_tiet"/>
      <sheetName val="01__DATA"/>
      <sheetName val="nhôm_1,2mm"/>
      <sheetName val="nhôm_1,4mm"/>
      <sheetName val="Dầm 1"/>
      <sheetName val="So sanh"/>
      <sheetName val="KTCK"/>
      <sheetName val="Sàn T1"/>
      <sheetName val="Lỗ thông gió"/>
      <sheetName val="Sàn tầng 01 ( old )"/>
      <sheetName val="THKP"/>
      <sheetName val="ጵ"/>
      <sheetName val="ጲ"/>
      <sheetName val="ጳ"/>
      <sheetName val="ፋ"/>
      <sheetName val="ጴ"/>
      <sheetName val="ጿ"/>
      <sheetName val="ጱ"/>
      <sheetName val="ጷ"/>
      <sheetName val="ጻ"/>
      <sheetName val="ጶ"/>
      <sheetName val="ጊ"/>
      <sheetName val="ጸ"/>
      <sheetName val="ፍ"/>
      <sheetName val="ድ"/>
      <sheetName val="ፊ"/>
      <sheetName val="ፌ"/>
      <sheetName val="현장경비(공사금액별)"/>
      <sheetName val="PS-Labour_M"/>
      <sheetName val="DAF-2"/>
      <sheetName val="FD"/>
      <sheetName val="GI"/>
      <sheetName val="EE (3)"/>
      <sheetName val="PAVEMENT"/>
      <sheetName val="TRAFFIC"/>
      <sheetName val="Ts"/>
      <sheetName val="General2"/>
      <sheetName val="Measure 1306"/>
      <sheetName val="Pag_hal"/>
      <sheetName val="일위(토,포,부)"/>
      <sheetName val="(원)기흥상갈"/>
      <sheetName val="식재"/>
      <sheetName val="시설물"/>
      <sheetName val="식재출력용"/>
      <sheetName val="유지관리"/>
      <sheetName val="Front"/>
      <sheetName val="[입찰안.xls][입찰안.xls][입찰안.xls]B__8"/>
      <sheetName val="[입찰안.xls][입찰안.xls][입찰안.xls]B__7"/>
      <sheetName val="[입찰안.xls][입찰안.xls][입찰안.xls]B__6"/>
      <sheetName val="[입찰안.xls][입찰안.xls][입찰안.xls]B__4"/>
      <sheetName val="[입찰안.xls][입찰안.xls][입찰안.xls]B__3"/>
      <sheetName val="[입찰안.xls][입찰안.xls][입찰안.xls]B__2"/>
      <sheetName val="[입찰안.xls][입찰안.xls][입찰안.xls]B__5"/>
      <sheetName val="자격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/>
      <sheetData sheetId="1280"/>
      <sheetData sheetId="128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 refreshError="1"/>
      <sheetData sheetId="1955" refreshError="1"/>
      <sheetData sheetId="1956"/>
      <sheetData sheetId="1957" refreshError="1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 refreshError="1"/>
      <sheetData sheetId="2154" refreshError="1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/>
      <sheetData sheetId="2221"/>
      <sheetData sheetId="2222"/>
      <sheetData sheetId="2223"/>
      <sheetData sheetId="2224" refreshError="1"/>
      <sheetData sheetId="2225"/>
      <sheetData sheetId="2226"/>
      <sheetData sheetId="2227"/>
      <sheetData sheetId="2228" refreshError="1"/>
      <sheetData sheetId="2229"/>
      <sheetData sheetId="2230"/>
      <sheetData sheetId="2231"/>
      <sheetData sheetId="2232"/>
      <sheetData sheetId="2233"/>
      <sheetData sheetId="2234" refreshError="1"/>
      <sheetData sheetId="2235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/>
      <sheetData sheetId="2258"/>
      <sheetData sheetId="2259"/>
      <sheetData sheetId="2260"/>
      <sheetData sheetId="2261"/>
      <sheetData sheetId="22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원가계산"/>
      <sheetName val="수정내역"/>
      <sheetName val="일위대가표"/>
      <sheetName val="일위대가"/>
      <sheetName val="실행내역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적용토목"/>
      <sheetName val="내역"/>
      <sheetName val="#REF"/>
      <sheetName val="3BL공동구 수량"/>
      <sheetName val="현장"/>
      <sheetName val="기본일위"/>
      <sheetName val="J直材4"/>
      <sheetName val="CTEMCOST"/>
      <sheetName val="조명율표"/>
      <sheetName val="재료"/>
      <sheetName val="6PILE  (돌출)"/>
      <sheetName val="I一般比"/>
      <sheetName val="식재인부"/>
      <sheetName val="N賃率-職"/>
      <sheetName val="설계서"/>
      <sheetName val="asd"/>
      <sheetName val="건축내역"/>
      <sheetName val="예산M11A"/>
      <sheetName val="101동"/>
      <sheetName val="2000년1차"/>
      <sheetName val="2000전체분"/>
      <sheetName val="MAIN_TABLE"/>
      <sheetName val="출자한도"/>
      <sheetName val="교통대책내역"/>
      <sheetName val="일대-1"/>
      <sheetName val="백암비스타내역"/>
      <sheetName val="KKK"/>
      <sheetName val="기초자료"/>
      <sheetName val="공사개요(서광주)"/>
      <sheetName val="산출내역서"/>
      <sheetName val="공사비총괄표"/>
      <sheetName val="대공종"/>
      <sheetName val="총괄표"/>
      <sheetName val="차수공개요"/>
      <sheetName val="단가조사"/>
      <sheetName val="경산"/>
      <sheetName val="Customer Databas"/>
      <sheetName val="골재산출"/>
      <sheetName val="지질조사"/>
      <sheetName val="교각별철근수량집계표"/>
      <sheetName val="산근"/>
      <sheetName val="금액내역서"/>
      <sheetName val="철탑공사"/>
      <sheetName val="5공철탑검토표"/>
      <sheetName val="4공철탑검토"/>
      <sheetName val="코드표"/>
      <sheetName val="단중표"/>
      <sheetName val="산출근거"/>
      <sheetName val="자료"/>
      <sheetName val="노임"/>
      <sheetName val="당초"/>
      <sheetName val="스포회원매출"/>
      <sheetName val="영창26"/>
      <sheetName val="기본단가표"/>
      <sheetName val="기초내역서"/>
      <sheetName val="수량산출"/>
      <sheetName val="대가목록표"/>
      <sheetName val="본공사"/>
      <sheetName val="설직재-1"/>
      <sheetName val="요율"/>
      <sheetName val="갑지"/>
      <sheetName val="실행"/>
      <sheetName val="갑지(추정)"/>
      <sheetName val="단가산출"/>
      <sheetName val="지하"/>
      <sheetName val="본체"/>
      <sheetName val="오수공수량집계표"/>
      <sheetName val="예산"/>
      <sheetName val="AIR SHOWER(3인용)"/>
      <sheetName val="위생설비"/>
      <sheetName val="물가자료"/>
      <sheetName val="수주추정"/>
      <sheetName val="식생블럭단위수량"/>
      <sheetName val="노임,재료비"/>
      <sheetName val="토공 total"/>
      <sheetName val="기술부대조건"/>
      <sheetName val="토공(우물통,기타) "/>
      <sheetName val="재료비노무비"/>
      <sheetName val="NYS"/>
      <sheetName val="Sheet5"/>
      <sheetName val="도급기성"/>
      <sheetName val="설비단가표"/>
      <sheetName val="데이타"/>
      <sheetName val="DATA"/>
      <sheetName val="LEGEND"/>
      <sheetName val="자재단가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LF자재단가"/>
      <sheetName val="Sheet6"/>
      <sheetName val="원가 (2)"/>
      <sheetName val="연부97-1"/>
      <sheetName val="조건표"/>
      <sheetName val="자갈,시멘트,모래산출"/>
      <sheetName val="48전력선로일위"/>
      <sheetName val="단가표"/>
      <sheetName val="일위대가목차"/>
      <sheetName val="교수설계"/>
      <sheetName val="1.설계조건"/>
      <sheetName val="공사직종별노임"/>
      <sheetName val="시설물기초"/>
      <sheetName val=" 냉각수펌프"/>
      <sheetName val="AHU집계"/>
      <sheetName val=" HIT-&gt;HMC 견적(3900)"/>
      <sheetName val="중기"/>
      <sheetName val="RE9604"/>
      <sheetName val="내역서2안"/>
      <sheetName val="ELEC"/>
      <sheetName val="9GNG운반"/>
      <sheetName val="율촌법률사무소2내역"/>
      <sheetName val="공조기휀"/>
      <sheetName val="내역서(중수)"/>
      <sheetName val="CAT_5"/>
      <sheetName val="단가비교표_공통1"/>
      <sheetName val="CIVIL4"/>
      <sheetName val="시멘트"/>
      <sheetName val="N賃率_職"/>
      <sheetName val="입찰안"/>
      <sheetName val="102역사"/>
      <sheetName val="특외대"/>
      <sheetName val="6호기"/>
      <sheetName val="금액집계"/>
      <sheetName val="96정변2"/>
      <sheetName val="목록"/>
      <sheetName val="조명시설"/>
      <sheetName val="내역(원안-대안)"/>
      <sheetName val="전기일위목록"/>
      <sheetName val="노무,재료"/>
      <sheetName val="견적"/>
      <sheetName val="철거산출근거"/>
      <sheetName val="사다리"/>
      <sheetName val="아파트건축"/>
      <sheetName val="당진1,2호기전선관설치및접지4차공사내역서-을지"/>
      <sheetName val="제-노임"/>
      <sheetName val="제직재"/>
      <sheetName val="데리네이타현황"/>
      <sheetName val="조경일람"/>
      <sheetName val="기계경비(시간당)"/>
      <sheetName val="일위대가1"/>
      <sheetName val="공통가설공사"/>
      <sheetName val="계약서"/>
      <sheetName val="DATE"/>
      <sheetName val="노무비"/>
      <sheetName val="산출-설비"/>
      <sheetName val="본체철근표"/>
      <sheetName val="역공종"/>
      <sheetName val="내역서 "/>
      <sheetName val="견적서"/>
      <sheetName val="대치판정"/>
      <sheetName val="원가서"/>
      <sheetName val="원가계산서"/>
      <sheetName val="001"/>
      <sheetName val="단위내역서"/>
      <sheetName val="주beam"/>
      <sheetName val="도급견적가"/>
      <sheetName val="표지"/>
      <sheetName val="guard(mac)"/>
      <sheetName val="부대공Ⅱ"/>
      <sheetName val="공사개요"/>
      <sheetName val="간접1"/>
      <sheetName val="장비가동"/>
      <sheetName val="내역관리1"/>
      <sheetName val="설_(3)"/>
      <sheetName val="설_(2)"/>
      <sheetName val="3BL공동구_수량"/>
      <sheetName val="갑지1"/>
      <sheetName val="전선 및 전선관"/>
      <sheetName val="공통가설"/>
      <sheetName val="저"/>
      <sheetName val="내역(설계)"/>
      <sheetName val="총수량집계표"/>
      <sheetName val="제작비추산총괄표"/>
      <sheetName val="갑"/>
      <sheetName val="백룡교차로"/>
      <sheetName val="산정교차로"/>
      <sheetName val="신영교차로"/>
      <sheetName val="내역서(기성청구)"/>
      <sheetName val="3.2제조설비"/>
      <sheetName val="적용건축"/>
      <sheetName val="물량입력"/>
      <sheetName val="일위(철거)"/>
      <sheetName val="E총15"/>
      <sheetName val="약품공급2"/>
      <sheetName val="카메라"/>
      <sheetName val="Inst."/>
      <sheetName val="물량표"/>
      <sheetName val="부하자료"/>
      <sheetName val="첨부1"/>
      <sheetName val="국내"/>
      <sheetName val="Baby일위대가"/>
      <sheetName val="을지"/>
      <sheetName val="내역서 제출"/>
      <sheetName val="직접공사비"/>
      <sheetName val="JUCKEYK"/>
      <sheetName val="내역표지"/>
      <sheetName val="노 무 비"/>
      <sheetName val="건축원가"/>
      <sheetName val="#3_일위대가목록"/>
      <sheetName val="01상노임"/>
      <sheetName val="200"/>
      <sheetName val="토공집계표"/>
      <sheetName val="단"/>
      <sheetName val="기계공사비집계(원안)"/>
      <sheetName val="토공"/>
      <sheetName val="터파기및재료"/>
      <sheetName val="별표"/>
      <sheetName val="청주(철골발주의뢰서)"/>
      <sheetName val="sub"/>
      <sheetName val="반포2차"/>
      <sheetName val="공사착공계"/>
      <sheetName val="하도급원가계산총괄표(식재)"/>
      <sheetName val="찍기"/>
      <sheetName val="특별땅고르기"/>
      <sheetName val="2000년 공정표"/>
      <sheetName val="별표 "/>
      <sheetName val="2공구산출내역"/>
      <sheetName val="입력변수"/>
      <sheetName val="일위"/>
      <sheetName val="Sheet7(ㅅ)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AIR_SHOWER(3인용)"/>
      <sheetName val="Customer_Databas"/>
      <sheetName val="토공(우물통,기타)_"/>
      <sheetName val="원가_(2)"/>
      <sheetName val="_HIT-&gt;HMC_견적(3900)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적용단위길이"/>
      <sheetName val="피벗테이블데이터분석"/>
      <sheetName val="품셈"/>
      <sheetName val="민감도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실행철강하도"/>
      <sheetName val="BID"/>
      <sheetName val="일위대가(1)"/>
      <sheetName val="기타 정보통신공사"/>
      <sheetName val="PIPING"/>
      <sheetName val="구리토평1전기"/>
      <sheetName val="C.전기공사"/>
      <sheetName val="20관리비율"/>
      <sheetName val="현장관리비"/>
      <sheetName val="신우"/>
      <sheetName val="을"/>
      <sheetName val="재집"/>
      <sheetName val="98지급계획"/>
      <sheetName val="Sheet1 (2)"/>
      <sheetName val="조명율"/>
      <sheetName val="표  지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J-EQ"/>
      <sheetName val="총괄내역"/>
      <sheetName val="하이테콤직원"/>
      <sheetName val="맨홀수량산출"/>
      <sheetName val="개요"/>
      <sheetName val="노임단가(08.01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유림골조"/>
      <sheetName val="세부내역서(전기)"/>
      <sheetName val="변경내역(전체)"/>
      <sheetName val="참조자료"/>
      <sheetName val="날개벽수량표"/>
      <sheetName val="전기내역"/>
      <sheetName val="자재표"/>
      <sheetName val="현장관리비참조"/>
      <sheetName val="부대"/>
      <sheetName val="일위CODE"/>
      <sheetName val="gyun"/>
      <sheetName val="연습"/>
      <sheetName val="그림"/>
      <sheetName val="그림2"/>
      <sheetName val="분전반"/>
      <sheetName val="내역서적용수량"/>
      <sheetName val="가도공"/>
      <sheetName val="간접비계산"/>
      <sheetName val="유림총괄"/>
      <sheetName val="예가표"/>
      <sheetName val="작성"/>
      <sheetName val="출력은 금물"/>
      <sheetName val="일위대가(건축)"/>
      <sheetName val="간접비"/>
      <sheetName val="청도공장"/>
      <sheetName val="철콘"/>
      <sheetName val="계측기"/>
      <sheetName val="단가 "/>
      <sheetName val="COVER"/>
      <sheetName val="ESCO개보수공사"/>
      <sheetName val="내역서중"/>
      <sheetName val="접지수량"/>
      <sheetName val="교각계산"/>
      <sheetName val="직접노무"/>
      <sheetName val="직접재료"/>
      <sheetName val="자료입력"/>
      <sheetName val="빌딩 안내"/>
      <sheetName val="전체"/>
      <sheetName val="교각1"/>
      <sheetName val="일위목록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수량총괄"/>
      <sheetName val="도담구내 개소별 명세"/>
      <sheetName val="전기2005"/>
      <sheetName val="통신2005"/>
      <sheetName val="총괄집계표"/>
      <sheetName val="패널"/>
      <sheetName val="간접(90)"/>
      <sheetName val="입상내역"/>
      <sheetName val="품셈총괄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Total"/>
      <sheetName val="예산총괄"/>
      <sheetName val="옥외계측"/>
      <sheetName val="CODE"/>
      <sheetName val="인공"/>
      <sheetName val="도급자재"/>
      <sheetName val="지급자재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철근중량"/>
      <sheetName val="ABUT수량-A1"/>
      <sheetName val="工관리비율"/>
      <sheetName val="工완성공사율"/>
      <sheetName val="물가시세"/>
      <sheetName val="정거장 설계조건"/>
      <sheetName val="오동"/>
      <sheetName val="대조"/>
      <sheetName val="나한"/>
      <sheetName val="터널조도"/>
      <sheetName val="산출0"/>
      <sheetName val="금융비용"/>
      <sheetName val="콘크리트"/>
      <sheetName val="부하"/>
      <sheetName val="노무단가산정"/>
      <sheetName val="인공산출"/>
      <sheetName val="주요기준"/>
      <sheetName val="제경비율"/>
      <sheetName val="기본가정"/>
      <sheetName val="자재단가비교표"/>
      <sheetName val="단가대비표"/>
      <sheetName val="b_balju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ELECTRIC"/>
      <sheetName val="품셈TABLE"/>
      <sheetName val="공정코드"/>
      <sheetName val="예비용"/>
      <sheetName val="1차 내역서"/>
      <sheetName val="현장경비"/>
      <sheetName val="포승중환경개선공사(변경)"/>
      <sheetName val="기초목록"/>
      <sheetName val="단가(자재)"/>
      <sheetName val="공사추진현황"/>
      <sheetName val="입력"/>
      <sheetName val="&lt;--"/>
      <sheetName val="단가 및 재료비"/>
      <sheetName val="가설공사"/>
      <sheetName val="상행-교대(A1-A2)"/>
      <sheetName val="전기설계변경"/>
      <sheetName val="일위(시설)"/>
      <sheetName val="BSD (2)"/>
      <sheetName val="화의-현금흐름"/>
      <sheetName val="전체제잡비"/>
      <sheetName val="바닥판"/>
      <sheetName val="입력DATA"/>
      <sheetName val="ATM기초철가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직공비"/>
      <sheetName val="퍼스트"/>
      <sheetName val="base"/>
      <sheetName val="중질쓰레기"/>
      <sheetName val="압축공기소요량"/>
      <sheetName val="보일러물질수지"/>
      <sheetName val="일위대가목록 "/>
      <sheetName val="을-ATYPE"/>
      <sheetName val="내역서(삼호)"/>
      <sheetName val="일위대가(출입)"/>
      <sheetName val="EJ"/>
      <sheetName val="식재일위대가"/>
      <sheetName val="일위대가(4층원격)"/>
      <sheetName val="대,유,램"/>
      <sheetName val="국별인원"/>
      <sheetName val="기계내역"/>
      <sheetName val="기초일위대가"/>
      <sheetName val="산출기초"/>
      <sheetName val="소방"/>
      <sheetName val="도급내역서"/>
      <sheetName val="부분별수량산출(조합기초)"/>
      <sheetName val="1안"/>
      <sheetName val="정부노임단가"/>
      <sheetName val="TABLE"/>
      <sheetName val="RAHMEN"/>
      <sheetName val="WORK"/>
      <sheetName val="AV시스템"/>
      <sheetName val="2F 회의실견적(5_14 일대)"/>
      <sheetName val="민속촌메뉴"/>
      <sheetName val="2F 회의실견적_5_14 일대_"/>
      <sheetName val="97"/>
      <sheetName val="ilch"/>
      <sheetName val="COL"/>
      <sheetName val="Sheet38"/>
      <sheetName val="기자재비"/>
      <sheetName val="부속동"/>
      <sheetName val="식재가격"/>
      <sheetName val="식재총괄"/>
      <sheetName val="수량산출서"/>
      <sheetName val="특별교실"/>
      <sheetName val="실행-집행"/>
      <sheetName val="조달단가"/>
      <sheetName val="실행대비"/>
      <sheetName val="일위총괄표"/>
      <sheetName val="기초분물량표"/>
      <sheetName val="내역전기"/>
      <sheetName val="5.동별횡주관경"/>
      <sheetName val="참조 (2)"/>
      <sheetName val="견적업체"/>
      <sheetName val="MOTOR"/>
      <sheetName val="교사기준면적(초등)"/>
      <sheetName val="Y-WORK"/>
      <sheetName val="일위대가 "/>
      <sheetName val="Uint보온"/>
      <sheetName val="견적(100%)"/>
      <sheetName val="직원자료입력"/>
      <sheetName val="하중계산"/>
      <sheetName val="안정성검토"/>
      <sheetName val="설계기준"/>
      <sheetName val="단가비교"/>
      <sheetName val="사전공사"/>
      <sheetName val="물집"/>
      <sheetName val="노임200103"/>
      <sheetName val="집수정토공"/>
      <sheetName val="설계명세서"/>
      <sheetName val="기계설비표선정수장"/>
      <sheetName val="부대공"/>
      <sheetName val="포장공"/>
      <sheetName val="단위중량"/>
      <sheetName val="골조시행"/>
      <sheetName val="샘플표지"/>
      <sheetName val="대보~세기"/>
      <sheetName val="대운반(철재)"/>
      <sheetName val="쌍송교"/>
      <sheetName val="수지예산"/>
      <sheetName val="직원관리자료"/>
      <sheetName val="원가계산서구조조정"/>
      <sheetName val="B부대공"/>
      <sheetName val="세부내역서"/>
      <sheetName val="신규 수주분(사용자 정의)"/>
      <sheetName val="동해title"/>
      <sheetName val="17F MOCKUP B-1,B-2"/>
      <sheetName val="기성내역서표지"/>
      <sheetName val="집수A"/>
      <sheetName val="남양시작동자105노65기1.3화1.2"/>
      <sheetName val="구천"/>
      <sheetName val="FAX"/>
      <sheetName val="유입맨홀산출"/>
      <sheetName val="설계명세"/>
      <sheetName val="인부노임"/>
      <sheetName val="원가계산서(변경)"/>
      <sheetName val="기초자료입력"/>
      <sheetName val="국도접속 차도부수량"/>
      <sheetName val="조명일위"/>
      <sheetName val="참고"/>
      <sheetName val="Sheet4"/>
      <sheetName val="철근량"/>
      <sheetName val="본서하반기"/>
      <sheetName val="하반기(지구대)"/>
      <sheetName val="자재일람"/>
      <sheetName val="상수도토공집계표"/>
      <sheetName val="환율change"/>
      <sheetName val="3.자재비(총괄)"/>
      <sheetName val="본사업"/>
      <sheetName val="제출내역 (3)"/>
      <sheetName val="7.환경"/>
      <sheetName val="SHEET PILE단가"/>
      <sheetName val="사유서제출현황-2"/>
      <sheetName val="영외수지"/>
      <sheetName val="문학간접"/>
      <sheetName val="간접"/>
      <sheetName val="예산서"/>
      <sheetName val="양식_자재단가조사표"/>
      <sheetName val="1구간BOQ"/>
      <sheetName val="도급내역"/>
      <sheetName val="공량(1월22일)"/>
      <sheetName val="냉천부속동"/>
      <sheetName val="표지1"/>
      <sheetName val="흥양2교토공집계표"/>
      <sheetName val="출력은_금물"/>
      <sheetName val="단가_"/>
      <sheetName val="C3"/>
      <sheetName val="납부서"/>
      <sheetName val="대목"/>
      <sheetName val="전담운영PM"/>
      <sheetName val="일위대가내역"/>
      <sheetName val="사업부배부A"/>
      <sheetName val="가로등내역서"/>
      <sheetName val="원내역"/>
      <sheetName val="외주비"/>
      <sheetName val="일반공사"/>
      <sheetName val="현장관리비 산출내역"/>
      <sheetName val="공사미수"/>
      <sheetName val="BOQ(전체)"/>
      <sheetName val="주소"/>
      <sheetName val="설계예시"/>
      <sheetName val="Mc1"/>
      <sheetName val="공통(20-91)"/>
      <sheetName val="내역(100%)"/>
      <sheetName val="산출근거(단청공사)"/>
      <sheetName val="96수출"/>
      <sheetName val="대로근거"/>
      <sheetName val="관로토공"/>
      <sheetName val="우수관"/>
      <sheetName val="토사(PE)"/>
      <sheetName val="#2_일위대가목록"/>
      <sheetName val="사업수지"/>
      <sheetName val="WEIGHT LIST"/>
      <sheetName val="POL6차-PIPING"/>
      <sheetName val="물량"/>
      <sheetName val="산#2-1 (2)"/>
      <sheetName val="산#3-1"/>
      <sheetName val="토목내역서 (도급단가)"/>
      <sheetName val="수공기"/>
      <sheetName val="특수기호강도거푸집"/>
      <sheetName val="종배수관면벽신"/>
      <sheetName val="종배수관(신)"/>
      <sheetName val="인건비"/>
      <sheetName val="TANK견적대지"/>
      <sheetName val="sst,stl창호"/>
      <sheetName val="DAN"/>
      <sheetName val="백호우계수"/>
      <sheetName val="공사비"/>
      <sheetName val="1공구내역"/>
      <sheetName val="건축공사실행"/>
      <sheetName val="공량산출서"/>
      <sheetName val="기둥(원형)"/>
      <sheetName val="기초공"/>
      <sheetName val="일위목록-기"/>
      <sheetName val="BOX전기내역"/>
      <sheetName val="길어깨(현황)"/>
      <sheetName val="60명당사(총괄)"/>
      <sheetName val="공종별내역서"/>
      <sheetName val="가락화장을지"/>
      <sheetName val="골조"/>
      <sheetName val="총공사내역서"/>
      <sheetName val="약품설비"/>
      <sheetName val="세부내역"/>
      <sheetName val="노임단가 (2)"/>
      <sheetName val="광장"/>
      <sheetName val="전동기"/>
      <sheetName val="일위대가(계측기설치)"/>
      <sheetName val="f산출"/>
      <sheetName val="자재단가리스트"/>
      <sheetName val="관로공정"/>
      <sheetName val="작업일보"/>
      <sheetName val="내역서01"/>
      <sheetName val="01"/>
      <sheetName val="수배전반"/>
      <sheetName val="총내역서"/>
      <sheetName val="사급자재(1단계)"/>
      <sheetName val="하조서"/>
      <sheetName val="실행(1)"/>
      <sheetName val="시운전연료비"/>
      <sheetName val="예산명세서"/>
      <sheetName val="시중노임"/>
      <sheetName val="CL분석결과"/>
      <sheetName val="조정율"/>
      <sheetName val="일위단가"/>
      <sheetName val="기존단가 (2)"/>
      <sheetName val="형틀공사"/>
      <sheetName val="일위(집)"/>
      <sheetName val="기초입력 DATA"/>
      <sheetName val="자재대"/>
      <sheetName val="간지"/>
      <sheetName val="견적단가"/>
      <sheetName val="기초작업"/>
      <sheetName val="부대집계"/>
      <sheetName val="전신환매도율"/>
      <sheetName val="직접시공계획서"/>
      <sheetName val="BF12-R0"/>
      <sheetName val="P-1"/>
      <sheetName val="1월"/>
      <sheetName val="토공_total1"/>
      <sheetName val="Customer_Databas1"/>
      <sheetName val="원가_(2)1"/>
      <sheetName val="AIR_SHOWER(3인용)1"/>
      <sheetName val="6PILE__(돌출)1"/>
      <sheetName val="토공(우물통,기타)_1"/>
      <sheetName val="노(97_1,97_9,98_1)1"/>
      <sheetName val="_HIT-&gt;HMC_견적(3900)1"/>
      <sheetName val="내역서_"/>
      <sheetName val="노_무_비"/>
      <sheetName val="Inst_"/>
      <sheetName val="별표_"/>
      <sheetName val="3_2제조설비"/>
      <sheetName val="단가대비표_(3)"/>
      <sheetName val="세골재__T2_변경_현황"/>
      <sheetName val="B2BERP"/>
      <sheetName val="어룡"/>
      <sheetName val="진흥지역조서(구역밖)"/>
      <sheetName val="itm코드"/>
      <sheetName val="itm기준"/>
      <sheetName val="매출채권"/>
      <sheetName val="1 자원총괄"/>
      <sheetName val="가감수량"/>
      <sheetName val="개거재료산출"/>
      <sheetName val=" 토목 처리장도급내역서 "/>
      <sheetName val="ES조서출력하기"/>
      <sheetName val="준공내역"/>
      <sheetName val="품목"/>
      <sheetName val="4.고용보험"/>
      <sheetName val="휴가비,급량비"/>
      <sheetName val="기안1"/>
      <sheetName val="PROJECT BRIEF(EX.NEW)"/>
      <sheetName val="앉음벽 (2)"/>
      <sheetName val="투자-국내2"/>
      <sheetName val="기초입력"/>
      <sheetName val="선체-H"/>
      <sheetName val="AHU-01"/>
      <sheetName val="공헾⾵_x0005_"/>
      <sheetName val="투찰(하수)"/>
      <sheetName val="4.2내역서"/>
      <sheetName val="설-원가"/>
      <sheetName val="설치자재"/>
      <sheetName val="단중"/>
      <sheetName val="양식(직판용)"/>
      <sheetName val="합의경상"/>
      <sheetName val="통신원가"/>
      <sheetName val="다이꾸"/>
      <sheetName val="동원(3)"/>
      <sheetName val="강관주휀스"/>
      <sheetName val="기성내역"/>
      <sheetName val="주차구획선수량"/>
      <sheetName val="재료할증"/>
      <sheetName val="단위수량산출"/>
      <sheetName val="낙찰표"/>
      <sheetName val="개별직종노임단가(2003.9)"/>
      <sheetName val="실행내역 (2)"/>
      <sheetName val="지입자재집계표"/>
      <sheetName val="포장복구집계"/>
      <sheetName val="공기압축기실"/>
      <sheetName val="Macro(MCC)"/>
      <sheetName val="설계예/"/>
      <sheetName val="공劰.勼"/>
      <sheetName val="공韛⾶_x0005_"/>
      <sheetName val="공_x0005__x0000_"/>
      <sheetName val="도로일위대가표"/>
      <sheetName val="제잡비"/>
      <sheetName val="자재테이블"/>
      <sheetName val="노임(1차)"/>
      <sheetName val="모래기초"/>
      <sheetName val="1.토공집계표"/>
      <sheetName val="접속단위"/>
      <sheetName val="흙쌓기도수로설치현황"/>
      <sheetName val="중기사용료산출근거"/>
      <sheetName val="샌딩 에폭시 도장"/>
      <sheetName val="일반문틀 설치"/>
      <sheetName val="스텐문틀설치"/>
      <sheetName val="철콘산출"/>
      <sheetName val="단조-노임"/>
      <sheetName val="노임단가2004(상)"/>
      <sheetName val="준공정산"/>
      <sheetName val="버스운행안내"/>
      <sheetName val="예방접종계획"/>
      <sheetName val="근태계획서"/>
      <sheetName val="일 위 목 록 표"/>
      <sheetName val="값"/>
      <sheetName val="상반기손익차2총괄"/>
      <sheetName val="대포2교접속"/>
      <sheetName val="천방교접속"/>
      <sheetName val="일위-1"/>
      <sheetName val="2.노임및손료"/>
      <sheetName val="1Month+Sheet2!"/>
      <sheetName val="석축산출서"/>
      <sheetName val="unitpric"/>
      <sheetName val="직접경비호표"/>
      <sheetName val="기계경비시간당손료목록"/>
      <sheetName val="연결원본-절대지우지말것"/>
      <sheetName val="공급집계 (현대-우림)"/>
      <sheetName val="상세도(80)"/>
      <sheetName val="대가호표"/>
      <sheetName val="5.지붕"/>
      <sheetName val="철근콘크리트"/>
      <sheetName val="Data&amp;Result"/>
      <sheetName val="손익"/>
      <sheetName val="제노임"/>
      <sheetName val="연환"/>
      <sheetName val="주안3차A-A"/>
      <sheetName val="간접경상비"/>
      <sheetName val="Cost bd-&quot;A&quot;"/>
      <sheetName val="2.대외공문"/>
      <sheetName val="Summary Sheets"/>
      <sheetName val="B부대0"/>
      <sheetName val="1"/>
      <sheetName val="통합"/>
      <sheetName val="철집"/>
      <sheetName val="지하시설물작성"/>
      <sheetName val="현장조사"/>
      <sheetName val="일위대가(목록)"/>
      <sheetName val="산근(목록)"/>
      <sheetName val="재료비"/>
      <sheetName val="이형관중량"/>
      <sheetName val="인건-측정"/>
      <sheetName val="공정외주"/>
      <sheetName val="BOX단위철근"/>
      <sheetName val="공내역"/>
      <sheetName val="일위대가(4_x0005__x0000__x0000_"/>
      <sheetName val="일위대가(4층원격礊"/>
      <sheetName val="일위대가(4獏め_x0005__x0000_"/>
      <sheetName val="관리보고"/>
      <sheetName val="일위대가(4층원격唨"/>
      <sheetName val="간접비 총괄표"/>
      <sheetName val="MAT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기준표"/>
      <sheetName val="99총공사내역서"/>
      <sheetName val="투찰내역"/>
      <sheetName val="옹벽"/>
      <sheetName val="설_(3)2"/>
      <sheetName val="설_(2)2"/>
      <sheetName val="3BL공동구_수량2"/>
      <sheetName val="토공_total2"/>
      <sheetName val="Customer_Databas2"/>
      <sheetName val="원가_(2)2"/>
      <sheetName val="AIR_SHOWER(3인용)2"/>
      <sheetName val="6PILE__(돌출)2"/>
      <sheetName val="토공(우물통,기타)_2"/>
      <sheetName val="노(97_1,97_9,98_1)2"/>
      <sheetName val="_냉각수펌프1"/>
      <sheetName val="1_설계조건1"/>
      <sheetName val="_HIT-&gt;HMC_견적(3900)2"/>
      <sheetName val="내역서_1"/>
      <sheetName val="노_무_비1"/>
      <sheetName val="전선_및_전선관1"/>
      <sheetName val="Inst_1"/>
      <sheetName val="내역서_제출1"/>
      <sheetName val="2000년_공정표1"/>
      <sheetName val="별표_1"/>
      <sheetName val="3_2제조설비1"/>
      <sheetName val="단가대비표_(3)1"/>
      <sheetName val="효성CB_1P기초1"/>
      <sheetName val="노무비_근거1"/>
      <sheetName val="세골재__T2_변경_현황1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기타_정보통신공사"/>
      <sheetName val="노임단가(08_01)"/>
      <sheetName val="갑지_을지"/>
      <sheetName val="C_전기공사"/>
      <sheetName val="Sheet1_(2)"/>
      <sheetName val="DATA테이블1_(2)"/>
      <sheetName val="1000_DB구축_부표"/>
      <sheetName val="CT_"/>
      <sheetName val="조도계산서_(도서)"/>
      <sheetName val="표__지"/>
      <sheetName val="빌딩_안내"/>
      <sheetName val="화재_탐지_설비"/>
      <sheetName val="A_견적"/>
      <sheetName val="s_v"/>
      <sheetName val="도담구내_개소별_명세"/>
      <sheetName val="정거장_설계조건"/>
      <sheetName val="2000_05"/>
      <sheetName val="단가_및_재료비"/>
      <sheetName val="1차_내역서"/>
      <sheetName val="[KKK.XLS]설계예/"/>
      <sheetName val="[KKK.XLS][KKK.XLS]설계예/"/>
      <sheetName val="[KKK.XLS][KKK.XLS][KKK.XLS]설계예/"/>
      <sheetName val="현금예금"/>
      <sheetName val="실행기초"/>
      <sheetName val="97년 추정"/>
      <sheetName val="변경내역"/>
      <sheetName val="차압계산"/>
      <sheetName val="B-data"/>
      <sheetName val="ETC"/>
      <sheetName val="1-1"/>
      <sheetName val="Sheet15"/>
      <sheetName val="전국현황"/>
      <sheetName val="차수"/>
      <sheetName val="산출내력"/>
      <sheetName val="견적내역서"/>
      <sheetName val="관개"/>
      <sheetName val="폐토수익화 "/>
      <sheetName val="원료"/>
      <sheetName val="공사내역"/>
      <sheetName val="선급비용"/>
      <sheetName val="단가대비"/>
      <sheetName val="공사잡비"/>
      <sheetName val="암거 제원표-1단계"/>
      <sheetName val="하수처리장"/>
      <sheetName val="토목"/>
      <sheetName val="건축2"/>
      <sheetName val="청곡지거입력"/>
      <sheetName val="파일의이용"/>
      <sheetName val="산출"/>
      <sheetName val="일용노임단가"/>
      <sheetName val="건축공사"/>
      <sheetName val="산출기초(기계터파기)3열"/>
      <sheetName val="전송망집계"/>
      <sheetName val="철거수량(전송)"/>
      <sheetName val="인사자료총집계"/>
      <sheetName val="원가계산 (2)"/>
      <sheetName val="70%"/>
      <sheetName val="전기일위대가"/>
      <sheetName val="배수공"/>
      <sheetName val="건축기성"/>
      <sheetName val="항목등록"/>
      <sheetName val="산출근거1"/>
      <sheetName val="인수공규격"/>
      <sheetName val="실행간접비용"/>
      <sheetName val="업무분장"/>
      <sheetName val="단가산출2"/>
      <sheetName val="청곡간선입력"/>
      <sheetName val="부자재 적용비율"/>
      <sheetName val="효동"/>
      <sheetName val="원본(갑지)"/>
      <sheetName val="ND"/>
      <sheetName val="제안서입력"/>
      <sheetName val="장비선정 "/>
      <sheetName val="중기조종사 단위단가"/>
      <sheetName val="성곽공사"/>
      <sheetName val="단가조사-1"/>
      <sheetName val="단가조사-2"/>
      <sheetName val="면적표"/>
      <sheetName val="토공A1"/>
      <sheetName val="적용률"/>
      <sheetName val="1구간FRP수량산출"/>
      <sheetName val="준검 내역서"/>
      <sheetName val="결재갑지"/>
      <sheetName val="wall"/>
      <sheetName val="1,2공구원가계산서"/>
      <sheetName val="대"/>
      <sheetName val="엔지니어링"/>
      <sheetName val="평3"/>
      <sheetName val="정산내역서"/>
      <sheetName val="관로내역원"/>
      <sheetName val="수토공단위당"/>
      <sheetName val="CABLE SIZE-1"/>
      <sheetName val="일위대가-1"/>
      <sheetName val="홍보비디오"/>
      <sheetName val="전계가"/>
      <sheetName val="산출금액내역"/>
      <sheetName val="용역비내역-진짜"/>
      <sheetName val="관급단가"/>
      <sheetName val="공사비산출서"/>
      <sheetName val="한강운반비"/>
      <sheetName val="단가 (2)"/>
      <sheetName val="NO.1-NO12(설계예산서)"/>
      <sheetName val="2.고용보험료산출근거"/>
      <sheetName val="ÀÏÀ§(PANEL)"/>
      <sheetName val="전통건설"/>
      <sheetName val="설계내역2"/>
      <sheetName val="유수전환공사"/>
      <sheetName val="공종목록표"/>
      <sheetName val="프랜트면허"/>
      <sheetName val="설계내역서"/>
      <sheetName val="기본자료"/>
      <sheetName val="노무비 "/>
      <sheetName val="평가데이터"/>
      <sheetName val="부안변전"/>
      <sheetName val="전기외주내역"/>
      <sheetName val="기초목"/>
      <sheetName val="현장관리비데이타"/>
      <sheetName val="기술조건"/>
      <sheetName val="호표"/>
      <sheetName val="95년12월말"/>
      <sheetName val="건설성적"/>
      <sheetName val="청곡지선토공총"/>
      <sheetName val="토공총"/>
      <sheetName val="슬래브(유곡)"/>
      <sheetName val="말뚝지/_x0000__x0013_"/>
      <sheetName val="자재운반단가일람표"/>
      <sheetName val="상시"/>
      <sheetName val="접속도로1"/>
      <sheetName val="가설공_x0000_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위치조서"/>
      <sheetName val="주요항목별"/>
      <sheetName val="예정공정표"/>
      <sheetName val="일위_FILE"/>
      <sheetName val="터널대가"/>
      <sheetName val="예정(3)"/>
      <sheetName val="소포내역 (2)"/>
      <sheetName val="단1"/>
      <sheetName val="MECH"/>
      <sheetName val="교대(A1-A2)"/>
      <sheetName val="공_x0005__x0000__x0000_"/>
      <sheetName val="공铌ó_x0000_"/>
      <sheetName val="공_x0000_"/>
      <sheetName val="공䐠"/>
      <sheetName val="공㽐-ૐ"/>
      <sheetName val="WING3"/>
      <sheetName val="총괄표 "/>
      <sheetName val="계화배수(3대)"/>
      <sheetName val="수량간지"/>
      <sheetName val="XL4Poppy"/>
      <sheetName val="단가산출(T)"/>
      <sheetName val="노임변동률"/>
      <sheetName val="잡철물"/>
      <sheetName val="매립"/>
      <sheetName val="토목주소"/>
      <sheetName val="측량요율"/>
      <sheetName val="1유리"/>
      <sheetName val="공ମ⿩_x0005_"/>
      <sheetName val="2,EXIST 전기실산출"/>
      <sheetName val="포승중환경개선공사_변경_"/>
      <sheetName val="직접경비"/>
      <sheetName val="범례표"/>
      <sheetName val="Zip_Code"/>
      <sheetName val="토공사"/>
      <sheetName val="SIL98"/>
      <sheetName val="말뚝지_x0000__x0000_ﯲ"/>
      <sheetName val="말뚝지怀4Ე"/>
      <sheetName val="시중노임단가"/>
      <sheetName val="각종양식"/>
      <sheetName val="편입토지조서"/>
      <sheetName val="기성금내역서"/>
      <sheetName val="시화점실행"/>
      <sheetName val="MEMORY"/>
      <sheetName val="신표지1"/>
      <sheetName val="GRACE"/>
      <sheetName val="식재일위대"/>
      <sheetName val="자재발주서"/>
      <sheetName val="Front"/>
      <sheetName val="본사"/>
      <sheetName val="공장"/>
      <sheetName val="ELECTR_x0000__x0000_"/>
      <sheetName val="MAT 철근"/>
      <sheetName val="FAB4생산"/>
      <sheetName val="남양구조시험동"/>
      <sheetName val="전기단가조사서"/>
      <sheetName val="P-산#1-1(WOWA1)"/>
      <sheetName val="단중표-ST"/>
      <sheetName val="조건표 (2)"/>
      <sheetName val="tggwan(mac)"/>
      <sheetName val="예산총괄표"/>
      <sheetName val="공주-교대(A1)"/>
      <sheetName val="기계공사"/>
      <sheetName val="시중노임(공사)"/>
      <sheetName val="수원공사비"/>
      <sheetName val="투찰"/>
      <sheetName val="4.2유효폭의 계산"/>
      <sheetName val="광주운남을"/>
      <sheetName val="기안문"/>
      <sheetName val="개별직종노임단가(2002.5)"/>
      <sheetName val="설계예산서"/>
      <sheetName val="폐기물"/>
      <sheetName val="부자재_적용비율"/>
      <sheetName val="일위대가_"/>
      <sheetName val="남양시작동자105노65기1_3화1_2"/>
      <sheetName val="BSD_(2)"/>
      <sheetName val="일위대가목록_"/>
      <sheetName val="국도접속_차도부수량"/>
      <sheetName val="철근"/>
      <sheetName val="입력정보"/>
      <sheetName val="3.공통공사대비"/>
      <sheetName val="BOX수량"/>
      <sheetName val="퍼ԯ_x0000_"/>
      <sheetName val="진단세부현황"/>
      <sheetName val="냉온수유니트"/>
      <sheetName val="300XL 세관"/>
      <sheetName val="P3"/>
      <sheetName val="전기내역서(총계)"/>
      <sheetName val=" 소방공사 산출근거"/>
      <sheetName val="13LPMCC"/>
      <sheetName val="합천내역"/>
      <sheetName val="실행내역 "/>
      <sheetName val="공사예산하조서(O.K)"/>
      <sheetName val="소각장스케줄"/>
      <sheetName val="급수 (LPM)"/>
      <sheetName val="요약&amp;결과"/>
      <sheetName val="SG"/>
      <sheetName val="일위목록데이타"/>
      <sheetName val="(4-2)열관류값-2"/>
      <sheetName val="금융"/>
      <sheetName val="성곽내역서"/>
      <sheetName val="화전내"/>
      <sheetName val="danga"/>
      <sheetName val="도로정위치부표"/>
      <sheetName val="도로조사부표"/>
      <sheetName val="내역1"/>
      <sheetName val="2F_회의실견적(5_14_일대)"/>
      <sheetName val="용산1(해보)"/>
      <sheetName val="원형1호맨홀토공수량"/>
      <sheetName val="부하계산서"/>
      <sheetName val="우각부보강"/>
      <sheetName val="비교1"/>
      <sheetName val="공통단가"/>
      <sheetName val="운반비"/>
      <sheetName val="기준FACTOR"/>
      <sheetName val="산출목록표"/>
      <sheetName val="도시가스현황"/>
      <sheetName val="계산표지"/>
      <sheetName val="급수"/>
      <sheetName val="기계경비산출기준"/>
      <sheetName val="기초단가"/>
      <sheetName val="경영"/>
      <sheetName val="98년"/>
      <sheetName val="실적"/>
      <sheetName val="장비집계"/>
      <sheetName val="조건"/>
      <sheetName val="빙축열"/>
      <sheetName val="금액"/>
      <sheetName val="심사물량"/>
      <sheetName val="심사계산"/>
      <sheetName val="고내분기~한림"/>
      <sheetName val="광령~경마장"/>
      <sheetName val="세기~광령"/>
      <sheetName val="정보"/>
      <sheetName val="2.토목공사"/>
      <sheetName val="월별수입"/>
      <sheetName val="현대물량"/>
      <sheetName val="관급"/>
      <sheetName val="기본사항"/>
      <sheetName val="피엘"/>
      <sheetName val="총괄갑 "/>
      <sheetName val="프로젝트"/>
      <sheetName val="기계경비_시간당_"/>
      <sheetName val="분전함신설"/>
      <sheetName val="접지1종"/>
      <sheetName val="일위대가(가설)"/>
      <sheetName val="A1"/>
      <sheetName val="플랜트 설치"/>
      <sheetName val="남평내역"/>
      <sheetName val="남양내역"/>
      <sheetName val="재료집계표"/>
      <sheetName val="LIST"/>
      <sheetName val="우수공집계"/>
      <sheetName val="공사진행"/>
      <sheetName val="여과지동"/>
      <sheetName val="대비"/>
      <sheetName val="#REF!"/>
      <sheetName val="내역서(교량)전체"/>
      <sheetName val="관급_File"/>
      <sheetName val="구역화물"/>
      <sheetName val="단위목록"/>
      <sheetName val="시험비"/>
      <sheetName val="기계경비목록"/>
      <sheetName val="견적을지"/>
      <sheetName val="BH-1 (2)"/>
      <sheetName val="업체별기성내역"/>
      <sheetName val="000000"/>
      <sheetName val="무시"/>
      <sheetName val="노임이"/>
      <sheetName val="북방3터널"/>
      <sheetName val="통신200헾"/>
      <sheetName val="5사남"/>
      <sheetName val="설치내역"/>
      <sheetName val="공동구수량"/>
      <sheetName val="미드수량"/>
      <sheetName val="하자접수대장"/>
      <sheetName val="날개벽"/>
      <sheetName val="일위대가(4층원격堘"/>
      <sheetName val="일위대가(4층원격朂"/>
      <sheetName val="일위대가(4층원격_x0005_"/>
      <sheetName val="세부내焀"/>
      <sheetName val="견적조건"/>
      <sheetName val="도급실행(본관-주차장)"/>
      <sheetName val="P.M 별"/>
      <sheetName val="수안보-MBR1"/>
      <sheetName val="PARAMETER"/>
      <sheetName val="10월"/>
      <sheetName val="기초"/>
      <sheetName val="부경"/>
      <sheetName val="database"/>
      <sheetName val="S1,3"/>
      <sheetName val="3BL공동구_桐ݾ蔌"/>
      <sheetName val="Macro(전선)"/>
      <sheetName val="3BL공동구__x0000__x0000_"/>
      <sheetName val="3BL공동구_厠į召"/>
      <sheetName val="蠀Ⲃ"/>
      <sheetName val="저⺄"/>
      <sheetName val="99-0002"/>
      <sheetName val="일위대가(비굴착)"/>
      <sheetName val="진주방향"/>
      <sheetName val="접수부"/>
      <sheetName val="공사 Scope 표지"/>
      <sheetName val="공사 Scope"/>
      <sheetName val="원가표"/>
      <sheetName val="내역-1"/>
      <sheetName val="내역-2"/>
      <sheetName val="일위2"/>
      <sheetName val="일위3"/>
      <sheetName val="몸체(460×600)"/>
      <sheetName val="560×550"/>
      <sheetName val="590×630"/>
      <sheetName val="502(760×600)"/>
      <sheetName val="840×700"/>
      <sheetName val="집수정(600-700)"/>
      <sheetName val="하鄘8눰"/>
      <sheetName val="직원명단"/>
      <sheetName val="이름"/>
      <sheetName val="도급"/>
      <sheetName val="내역서_᎛⼗"/>
      <sheetName val="광주주공"/>
      <sheetName val="조업일수"/>
      <sheetName val="B.O.M"/>
      <sheetName val="5"/>
      <sheetName val="생산매출 (4)"/>
      <sheetName val="시산표"/>
      <sheetName val="STANDARD (상)-참고"/>
      <sheetName val="직접노무비"/>
      <sheetName val="일  위  대  가  목  록"/>
      <sheetName val="PSCbeam설계"/>
      <sheetName val="봉양~조차장간고하개명(신설)"/>
      <sheetName val="부재리스트"/>
      <sheetName val="구분자"/>
      <sheetName val="220 (2)"/>
      <sheetName val="48단가"/>
      <sheetName val="이형관"/>
      <sheetName val="공종"/>
      <sheetName val="22관계"/>
      <sheetName val="22기타(L,R)"/>
      <sheetName val="22전선계"/>
      <sheetName val="월래"/>
      <sheetName val="연결관단위"/>
      <sheetName val="중기단가"/>
      <sheetName val="중기목록"/>
      <sheetName val="수량이동"/>
      <sheetName val="정철호"/>
      <sheetName val="FUEL FILLER"/>
      <sheetName val="내역(가지)"/>
      <sheetName val="소총괄표1"/>
      <sheetName val=" 갑지"/>
      <sheetName val="ysn"/>
      <sheetName val="수주이월"/>
      <sheetName val="FD"/>
      <sheetName val="99관저"/>
      <sheetName val="QandAJunior"/>
      <sheetName val="FB25JN"/>
      <sheetName val="직접수량"/>
      <sheetName val="J형측구단위수량"/>
      <sheetName val="전기공사일위대가"/>
      <sheetName val="도로단위당"/>
      <sheetName val="횡배수관집현황(2공구)"/>
      <sheetName val="자재비"/>
      <sheetName val="일위대가서식"/>
      <sheetName val="단가표 (2)"/>
      <sheetName val="대비2"/>
      <sheetName val="2차기성내역서"/>
      <sheetName val="TEMP"/>
      <sheetName val="JA"/>
      <sheetName val="인테리어내역"/>
      <sheetName val="횡배수관토공수량"/>
      <sheetName val="98수문일위"/>
      <sheetName val="총괄내역서"/>
      <sheetName val="출력은_금물1"/>
      <sheetName val="단가_1"/>
      <sheetName val="97년_추정"/>
      <sheetName val="SHEET_PILE단가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신규_수주분(사용자_정의)"/>
      <sheetName val="현장관리비_산출내역"/>
      <sheetName val="원가계산_(2)"/>
      <sheetName val="토목내역서_(도급단가)"/>
      <sheetName val="팀업무"/>
      <sheetName val="점수계산1-2"/>
      <sheetName val="담보"/>
      <sheetName val="경비2내역"/>
      <sheetName val="[KKK.XLS][KKK.XLS]말뚝지/_x0000__x0013_"/>
      <sheetName val="1호맨홀토공"/>
      <sheetName val="APT"/>
      <sheetName val="청학계"/>
      <sheetName val="DATA 입력부"/>
      <sheetName val="copy"/>
      <sheetName val="도로횡단-D300"/>
      <sheetName val="DATA테이블"/>
      <sheetName val="DATA테이블_x0000__x0000_Ԁ_x0000_쀀"/>
      <sheetName val="미장&amp;수장공사"/>
      <sheetName val="우배수"/>
      <sheetName val="수량산출목록표"/>
      <sheetName val="중계I"/>
      <sheetName val="HWP참조"/>
      <sheetName val="전선(총)"/>
      <sheetName val="7-1노임"/>
      <sheetName val="7-2경비"/>
      <sheetName val="860×600"/>
      <sheetName val="870×770"/>
      <sheetName val="910×600"/>
      <sheetName val="937×610"/>
      <sheetName val="960×600"/>
      <sheetName val="980×640"/>
      <sheetName val="1000×610"/>
      <sheetName val="1080×770"/>
      <sheetName val="1130×600"/>
      <sheetName val="1200×600"/>
      <sheetName val="503(1230×510)"/>
      <sheetName val="1310×800"/>
      <sheetName val="1360×700"/>
      <sheetName val="1380×670"/>
      <sheetName val="1400×830"/>
      <sheetName val="1450×505"/>
      <sheetName val="1470×700"/>
      <sheetName val="1500×613"/>
      <sheetName val="1500×720"/>
      <sheetName val="1550×770"/>
      <sheetName val="1600×700"/>
      <sheetName val="1650×650"/>
      <sheetName val="1650×800"/>
      <sheetName val="1780×500"/>
      <sheetName val="2190×505"/>
      <sheetName val="504(2700×650)"/>
      <sheetName val="505(840×700)"/>
      <sheetName val="840×840"/>
      <sheetName val="848×613"/>
      <sheetName val="1060×700"/>
      <sheetName val="1080×670"/>
      <sheetName val="1110×722"/>
      <sheetName val="1160×650"/>
      <sheetName val="1160×680"/>
      <sheetName val="1160×730"/>
      <sheetName val="506(1210×730)"/>
      <sheetName val="1310×700"/>
      <sheetName val="1310×790"/>
      <sheetName val="1480×560"/>
      <sheetName val="511(1080×770)"/>
      <sheetName val="512(1360×700)"/>
      <sheetName val="512(1380×670)"/>
      <sheetName val="512(1500×720)"/>
      <sheetName val="512(1650×800)"/>
      <sheetName val="임율산출표"/>
      <sheetName val="간접노무비율"/>
      <sheetName val="직간접노무비집계"/>
      <sheetName val="부문별직접노무발생"/>
      <sheetName val="부분별간접노무집계"/>
      <sheetName val="부분별공통비배부액"/>
      <sheetName val="부분별간접노무발생"/>
      <sheetName val="발생노무집계"/>
      <sheetName val="직접노무비발생"/>
      <sheetName val="간접노무비발생"/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"/>
      <sheetName val="일반관리비비율산출표"/>
      <sheetName val="일반관리및이윤율"/>
      <sheetName val="손익계산서"/>
      <sheetName val="제조원가명세서"/>
      <sheetName val="노무비집계"/>
      <sheetName val="노무공수산출(460×600)"/>
      <sheetName val="적용원단위공수"/>
      <sheetName val="단위당노무공수"/>
      <sheetName val="실적원재료공수"/>
      <sheetName val="실적작업공수"/>
      <sheetName val="난이도가중치"/>
      <sheetName val="실적재품수량산출"/>
      <sheetName val="거울판"/>
      <sheetName val="키큰장"/>
      <sheetName val="서랍통"/>
      <sheetName val="천판류"/>
      <sheetName val="기타"/>
      <sheetName val="포장"/>
      <sheetName val="1∼37"/>
      <sheetName val="38∼94"/>
      <sheetName val="95∼126"/>
      <sheetName val="127∼154"/>
      <sheetName val="155∼205"/>
      <sheetName val="206∼255"/>
      <sheetName val="256∼281"/>
      <sheetName val="추가분"/>
      <sheetName val="뒷선반"/>
      <sheetName val="장식판"/>
      <sheetName val="상판(HPM)"/>
      <sheetName val="상판(인조)"/>
      <sheetName val="포장(1)"/>
      <sheetName val="포장(2)"/>
      <sheetName val="포장(3)"/>
      <sheetName val="포장(4)"/>
      <sheetName val="코킹"/>
      <sheetName val="상판,뒷선반길이"/>
      <sheetName val="간재"/>
      <sheetName val="간노"/>
      <sheetName val="임금"/>
      <sheetName val="임금2"/>
      <sheetName val="경비 (2)"/>
      <sheetName val="경조"/>
      <sheetName val="일반 (2)"/>
      <sheetName val="일반율"/>
      <sheetName val="이윤 (2)"/>
      <sheetName val="이윤율"/>
      <sheetName val="제조"/>
      <sheetName val="손익2"/>
      <sheetName val="제조2"/>
      <sheetName val="기업"/>
      <sheetName val="제조노임"/>
      <sheetName val="시약"/>
      <sheetName val=""/>
      <sheetName val="P1(좌,우)"/>
      <sheetName val="도급내역׃⽚"/>
      <sheetName val="도급내역׃⾺_x0000__x0000_鎀_x0000_"/>
      <sheetName val="도급내역׃⾺_x0000__x0000_映_x0000_"/>
      <sheetName val="도급내역׃⾺_x0000__x0000_淈_x0000_"/>
      <sheetName val="도급내역׃⾺_x0000__x0000_윀_x0000_"/>
      <sheetName val="도급내역׃⾺_x0000__x0000_靰_x0000_"/>
      <sheetName val="도급내역׃⾺_x0000__x0000_筠_x0000_"/>
      <sheetName val="도급내역׃⾺_x0000__x0000_珰_x0000_"/>
      <sheetName val="도급내역׃⾺_x0000__x0000_觘_x0000_"/>
      <sheetName val="도급내역׃⾺_x0000__x0000_椰_x0000_"/>
      <sheetName val="도급내역薨(藬(헾⽉"/>
      <sheetName val="도급내역헾⼖_x0005__x0000__x0000_"/>
      <sheetName val="도급내역׃⽚_x0000__x0000_ⶐ_x0000_"/>
      <sheetName val="공ꙭĕ_x0000_"/>
      <sheetName val="공ꙭ_x0017__x0000_"/>
      <sheetName val="공ꙭ"/>
      <sheetName val="시점교대"/>
      <sheetName val="48평형"/>
      <sheetName val="62평형"/>
      <sheetName val="배수통관(좌)"/>
      <sheetName val="SUS(150)"/>
      <sheetName val="단면가정"/>
      <sheetName val="부재력정리"/>
      <sheetName val="경비"/>
      <sheetName val="평균터파기고(1-2,AS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 refreshError="1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/>
      <sheetData sheetId="97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  <sheetName val="시행결의을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입찰안"/>
      <sheetName val="실행"/>
      <sheetName val="관리"/>
      <sheetName val="표지"/>
      <sheetName val="총괄표"/>
      <sheetName val="집계표"/>
      <sheetName val="내역"/>
      <sheetName val="적격"/>
      <sheetName val="적정"/>
      <sheetName val="평가"/>
      <sheetName val="조사"/>
      <sheetName val="견적"/>
      <sheetName val="견적내역"/>
      <sheetName val="합의서"/>
      <sheetName val="총괄표(설계)"/>
      <sheetName val="내역(설계)"/>
      <sheetName val="기아대교"/>
      <sheetName val="동원인원계획표"/>
      <sheetName val="일위대가"/>
      <sheetName val="차액보증"/>
      <sheetName val="9GNG운반"/>
      <sheetName val="1.수인터널"/>
      <sheetName val="#REF"/>
      <sheetName val="인사자료총집계"/>
      <sheetName val="실행철강하도"/>
      <sheetName val="단가"/>
      <sheetName val="BID"/>
      <sheetName val="1F"/>
      <sheetName val="용소리교"/>
      <sheetName val="토공"/>
      <sheetName val="준공조서갑지"/>
      <sheetName val="산출내역서"/>
      <sheetName val="98수문일위"/>
      <sheetName val="공사설명서"/>
      <sheetName val="본공사"/>
      <sheetName val="1호맨홀수량산출"/>
      <sheetName val="8.PILE  (돌출)"/>
      <sheetName val="정렬"/>
      <sheetName val="견적사양비교표"/>
      <sheetName val="당진1,2호기전선관설치및접지4차공사내역서-을지"/>
      <sheetName val="을지"/>
      <sheetName val="설계"/>
      <sheetName val="I一般比"/>
      <sheetName val="참조자료"/>
      <sheetName val="토공사"/>
      <sheetName val="일위대가(계측기설치)"/>
      <sheetName val="내역서"/>
      <sheetName val="6PILE  (돌출)"/>
      <sheetName val="횡배수관토공수량"/>
      <sheetName val="설계내역서"/>
      <sheetName val="토목주소"/>
      <sheetName val="프랜트면허"/>
      <sheetName val="견적서"/>
      <sheetName val="Sheet1"/>
      <sheetName val="할증 "/>
      <sheetName val="기안"/>
      <sheetName val="품셈TABLE"/>
      <sheetName val="입찰보고"/>
      <sheetName val="wall"/>
      <sheetName val="Front"/>
      <sheetName val="기본단가"/>
      <sheetName val="JUCKEYK"/>
      <sheetName val="직노"/>
      <sheetName val="설 계"/>
      <sheetName val="적용토목"/>
      <sheetName val="3차준공"/>
      <sheetName val="경비_원본"/>
      <sheetName val="노임단가"/>
      <sheetName val="2공구산출내역"/>
      <sheetName val="산출내역서집계표"/>
      <sheetName val="기초공"/>
      <sheetName val="기둥(원형)"/>
      <sheetName val="98NS-N"/>
      <sheetName val="관급"/>
      <sheetName val="조명시설"/>
      <sheetName val="금호"/>
      <sheetName val="현대물량"/>
      <sheetName val="sw1"/>
      <sheetName val="NOMUBI"/>
      <sheetName val="배수관연장산출서"/>
      <sheetName val="1차 내역서"/>
      <sheetName val="공종별집계표"/>
      <sheetName val="대공종"/>
      <sheetName val="점수계산1-2"/>
      <sheetName val="기성2"/>
      <sheetName val="시멘트"/>
      <sheetName val="협조전"/>
      <sheetName val="BSD (2)"/>
      <sheetName val="Total"/>
      <sheetName val="산3_4"/>
      <sheetName val="SCH"/>
      <sheetName val="수자재단위당"/>
      <sheetName val="수량산출"/>
      <sheetName val="노임산재"/>
      <sheetName val="대비"/>
      <sheetName val="JJ"/>
      <sheetName val="총괄-1"/>
      <sheetName val="도급"/>
      <sheetName val="미장"/>
      <sheetName val="터파기및재료"/>
      <sheetName val="특수선일위대가"/>
      <sheetName val="월별수입"/>
      <sheetName val="N賃率-職"/>
      <sheetName val="10-3월별수입"/>
      <sheetName val="8-1차이내역"/>
      <sheetName val="내역표지"/>
      <sheetName val="분전반"/>
      <sheetName val="잡철물"/>
      <sheetName val="EJ"/>
      <sheetName val="실행(ALT1)"/>
      <sheetName val="전기실-1"/>
      <sheetName val="갑지"/>
      <sheetName val="교통대책내역"/>
      <sheetName val="간접경상비"/>
      <sheetName val="광통신 견적내역서1"/>
      <sheetName val="평3"/>
      <sheetName val="자재표"/>
      <sheetName val="손익분석"/>
      <sheetName val="투찰(하수)"/>
      <sheetName val="당초"/>
      <sheetName val="unit 4"/>
      <sheetName val="1,2공구원가계산서"/>
      <sheetName val="1공구산출내역서"/>
      <sheetName val="단가표"/>
      <sheetName val="Customer Databas"/>
      <sheetName val="CTEMCOST"/>
      <sheetName val="공사개요"/>
      <sheetName val="조명율표"/>
      <sheetName val="Y-WORK"/>
      <sheetName val="자재co"/>
      <sheetName val="앵커구조계산"/>
      <sheetName val="토목내역서"/>
      <sheetName val="지구단위계획"/>
      <sheetName val="단가목록"/>
      <sheetName val="식재일위대가"/>
      <sheetName val="내역서2안"/>
      <sheetName val="일위대가표"/>
      <sheetName val="골조시행"/>
      <sheetName val="원가계산서"/>
      <sheetName val="TYPE-A"/>
      <sheetName val="업무"/>
      <sheetName val="단가비교표_공통1"/>
      <sheetName val="정부노임단가"/>
      <sheetName val="DATE"/>
      <sheetName val="조경"/>
      <sheetName val="수문일1"/>
      <sheetName val="하조서"/>
      <sheetName val="원가"/>
      <sheetName val="옥외"/>
      <sheetName val="전기"/>
      <sheetName val="노임"/>
      <sheetName val="동원인원"/>
      <sheetName val="공정분류"/>
      <sheetName val="코드표"/>
      <sheetName val="CalcuSheet"/>
      <sheetName val="200"/>
      <sheetName val="K2 site Total 내역서"/>
      <sheetName val="A-4"/>
      <sheetName val="BREAKDOWN(철거설치)"/>
      <sheetName val="금융비용"/>
      <sheetName val="돈암사업"/>
      <sheetName val="산근"/>
      <sheetName val="CONCRETE"/>
      <sheetName val="CAPVC"/>
      <sheetName val="TCDB"/>
      <sheetName val="실행(표지,갑,을)"/>
      <sheetName val="자재단가"/>
      <sheetName val="전체기준Data"/>
      <sheetName val="요율"/>
      <sheetName val="원본"/>
      <sheetName val="건축공사"/>
      <sheetName val="우수맨홀공제단위수량"/>
      <sheetName val="데리네이타현황"/>
      <sheetName val="10현장조직"/>
      <sheetName val="PUMP"/>
      <sheetName val="PIPE(UG)내역"/>
      <sheetName val="Main"/>
      <sheetName val="Data"/>
      <sheetName val="현금흐름"/>
      <sheetName val="포장공자재집계표"/>
      <sheetName val="자금청구(건축)"/>
      <sheetName val="갑지(추정)"/>
      <sheetName val=" ｹ-ﾌﾞﾙ"/>
      <sheetName val="Sheet13"/>
      <sheetName val="추가예산"/>
      <sheetName val="음료실행"/>
      <sheetName val="Trend(Agitator)"/>
      <sheetName val="품목"/>
      <sheetName val="CAT_5"/>
      <sheetName val="70%"/>
      <sheetName val="지질조사"/>
      <sheetName val="일위대가목차"/>
      <sheetName val="종배수관"/>
      <sheetName val="골조"/>
      <sheetName val="간접1"/>
      <sheetName val="선정요령"/>
      <sheetName val="9-1차이내역"/>
      <sheetName val="98지급계획"/>
      <sheetName val="설계명세서"/>
      <sheetName val="전기공사"/>
      <sheetName val="포장단면별단위수량"/>
      <sheetName val="대림경상68억"/>
      <sheetName val="집수정토공"/>
      <sheetName val="세부내역"/>
      <sheetName val="내역서(전기)"/>
      <sheetName val="일위대가목록"/>
      <sheetName val="BQ List"/>
      <sheetName val="PipWT"/>
      <sheetName val="품셈표"/>
      <sheetName val="6동"/>
      <sheetName val="인건비"/>
      <sheetName val="주관사업"/>
      <sheetName val="진주방향"/>
      <sheetName val="마산방향"/>
      <sheetName val="하중"/>
      <sheetName val="기계경비(시간당)"/>
      <sheetName val="원가계산"/>
      <sheetName val="간접비 총괄표"/>
      <sheetName val="DATA LISTS"/>
      <sheetName val="wtdb"/>
      <sheetName val="2.대외공문"/>
      <sheetName val="COVER-P"/>
      <sheetName val="상시"/>
      <sheetName val="개요"/>
      <sheetName val="장기채무명세서(97.12.31)"/>
      <sheetName val="약품공급2"/>
      <sheetName val="VENDOR LIST"/>
      <sheetName val="공통비"/>
      <sheetName val="전신환매도율"/>
      <sheetName val="변경후-SHEET"/>
      <sheetName val="현장관리비"/>
      <sheetName val="원가계산하도"/>
      <sheetName val="소야공정계획표"/>
      <sheetName val="준검 내역서"/>
      <sheetName val="1.취수장"/>
      <sheetName val="s"/>
      <sheetName val="일위"/>
      <sheetName val="시중노임단가"/>
      <sheetName val="일위대가1"/>
      <sheetName val="항목등록"/>
      <sheetName val="단가조사"/>
      <sheetName val="전선 및 전선관"/>
      <sheetName val="종단계산"/>
      <sheetName val="점수확인"/>
      <sheetName val="설직재-1"/>
      <sheetName val="변압기 및 발전기 용량"/>
      <sheetName val="하도계약반영"/>
      <sheetName val="총공사내역서"/>
      <sheetName val="공정코드"/>
      <sheetName val="퍼스트"/>
      <sheetName val="기계경비"/>
      <sheetName val="(실사조정)총괄"/>
      <sheetName val="원본(갑지)"/>
      <sheetName val="토목"/>
      <sheetName val="낙찰표"/>
      <sheetName val="배수내역"/>
      <sheetName val="BH-1 (2)"/>
      <sheetName val="수입"/>
      <sheetName val="건축"/>
      <sheetName val="공사비집계"/>
      <sheetName val="15설계GIS"/>
      <sheetName val="배수통관(좌)"/>
      <sheetName val="ABUT수량-A1"/>
      <sheetName val="하수처리장"/>
      <sheetName val="토공총괄표"/>
      <sheetName val="조건표"/>
      <sheetName val="건축내역서"/>
      <sheetName val="율"/>
      <sheetName val="목차"/>
      <sheetName val="건축원가"/>
      <sheetName val="식재가격"/>
      <sheetName val="식재총괄"/>
      <sheetName val="일위목록"/>
      <sheetName val="SIL98"/>
      <sheetName val="기흥하도용"/>
      <sheetName val="경비"/>
      <sheetName val="현경"/>
      <sheetName val="형틀"/>
      <sheetName val="경성자금"/>
      <sheetName val="기계 도급내역서"/>
      <sheetName val="인원현황"/>
      <sheetName val="성서방향-교대(A2)"/>
      <sheetName val="자료입력"/>
      <sheetName val="예산명세서"/>
      <sheetName val="비교표"/>
      <sheetName val=" 총괄표"/>
      <sheetName val="별표 "/>
      <sheetName val="볼트 중량표"/>
      <sheetName val="경비2내역"/>
      <sheetName val="1_수인터널"/>
      <sheetName val="광통신_견적내역서1"/>
      <sheetName val="unit_4"/>
      <sheetName val="Customer_Databas"/>
      <sheetName val="K2_site_Total_내역서"/>
      <sheetName val="설_계"/>
      <sheetName val="할증_"/>
      <sheetName val="8_PILE__(돌출)"/>
      <sheetName val="45,46"/>
      <sheetName val="수량산출서"/>
      <sheetName val="대구파크쿨링타워"/>
      <sheetName val="포장공"/>
      <sheetName val="문학간접"/>
      <sheetName val="확약서"/>
      <sheetName val="WING3"/>
      <sheetName val="전체"/>
      <sheetName val="부안일위"/>
      <sheetName val="단"/>
      <sheetName val="6MONTHS"/>
      <sheetName val="BSD_(2)"/>
      <sheetName val="계정"/>
      <sheetName val="감리을"/>
      <sheetName val="전입"/>
      <sheetName val="Quantity"/>
      <sheetName val="제1영업소"/>
      <sheetName val="제2영업소"/>
      <sheetName val="제3영업소"/>
      <sheetName val="실행내역"/>
      <sheetName val="품셈"/>
      <sheetName val="총괄내역서"/>
      <sheetName val="출력X"/>
      <sheetName val="가로등내역서"/>
      <sheetName val="부대내역"/>
      <sheetName val="차수"/>
      <sheetName val="인건비 "/>
      <sheetName val="10.경제성분석"/>
      <sheetName val="Sheet2"/>
      <sheetName val="1_수인터널1"/>
      <sheetName val="할증_1"/>
      <sheetName val="BSD_(2)1"/>
      <sheetName val="8_PILE__(돌출)1"/>
      <sheetName val="_ｹ-ﾌﾞﾙ"/>
      <sheetName val="1차_내역서"/>
      <sheetName val="6PILE__(돌출)"/>
      <sheetName val="2_대외공문"/>
      <sheetName val="DATA_LISTS"/>
      <sheetName val="BH-1_(2)"/>
      <sheetName val="Tra_bang"/>
      <sheetName val="현장별"/>
      <sheetName val="이자율"/>
      <sheetName val="방송(체육관)"/>
      <sheetName val="총괄집계표"/>
      <sheetName val="구분자"/>
      <sheetName val="통장출금액"/>
      <sheetName val="Mc1"/>
      <sheetName val="Macro1"/>
      <sheetName val="Macro2"/>
      <sheetName val="배수공 시멘트 및 골재량 산출"/>
      <sheetName val="날개벽수량표"/>
      <sheetName val="Xunit (단위환산)"/>
      <sheetName val="일위대가표-2"/>
      <sheetName val="연습"/>
      <sheetName val="APT"/>
      <sheetName val="DC-O-4-S(설명서)"/>
      <sheetName val="맨홀수량산출"/>
      <sheetName val="05월 기성청구서"/>
      <sheetName val="제안서"/>
      <sheetName val="행정표준(1)"/>
      <sheetName val="행정표준(2)"/>
      <sheetName val="공사"/>
      <sheetName val="2000년1차"/>
      <sheetName val="입력"/>
      <sheetName val="기본단가표"/>
      <sheetName val="TEL"/>
      <sheetName val="일위대가표48"/>
      <sheetName val="데이타"/>
      <sheetName val="공사비산출내역"/>
      <sheetName val="토목 (2)"/>
      <sheetName val="흄관기초"/>
      <sheetName val="단가대비표"/>
      <sheetName val="한세A4PL"/>
      <sheetName val="준공정산"/>
      <sheetName val="간지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  <sheetName val="입찰표지"/>
      <sheetName val="총괄표"/>
      <sheetName val="전체내역서"/>
      <sheetName val="전기내역서"/>
      <sheetName val="1공구 건정토건 토공"/>
      <sheetName val="1공구 건정토건 철콘"/>
      <sheetName val="단가산출"/>
      <sheetName val="자재수량"/>
      <sheetName val="Sheet1"/>
      <sheetName val="Sheet2"/>
      <sheetName val="Sheet3"/>
      <sheetName val="내역표지"/>
      <sheetName val="도급표지 "/>
      <sheetName val="부대표지"/>
      <sheetName val="도급표지  (4)"/>
      <sheetName val="부대표지 (4)"/>
      <sheetName val="도급표지  (3)"/>
      <sheetName val="부대표지 (3)"/>
      <sheetName val="도급표지  (2)"/>
      <sheetName val="부대표지 (2)"/>
      <sheetName val="세로"/>
      <sheetName val="토  목"/>
      <sheetName val="조  경"/>
      <sheetName val="전 기"/>
      <sheetName val="건  축"/>
      <sheetName val="건축설비"/>
      <sheetName val="기계"/>
      <sheetName val="제어계측"/>
      <sheetName val="Sheet4"/>
      <sheetName val="Sheet5"/>
      <sheetName val="Sheet6"/>
      <sheetName val="Sheet16"/>
      <sheetName val="보도내역 (3)"/>
      <sheetName val="Module1"/>
      <sheetName val="직노"/>
      <sheetName val="준검 내역서"/>
      <sheetName val="실행철강하도"/>
      <sheetName val="산출내역서"/>
      <sheetName val="#REF"/>
      <sheetName val="Qheet6"/>
      <sheetName val="입찰안"/>
      <sheetName val="차액보증"/>
      <sheetName val="공사개요"/>
      <sheetName val="갑지"/>
      <sheetName val="A-4"/>
      <sheetName val="일위대가"/>
      <sheetName val="주차구획선수량"/>
      <sheetName val="정부노임단가"/>
      <sheetName val="신공항A-9(원가수정)"/>
      <sheetName val="변경비교-을"/>
      <sheetName val="내역서"/>
      <sheetName val="자재단가비교표"/>
      <sheetName val="개요"/>
      <sheetName val="부대tu"/>
      <sheetName val="내역"/>
      <sheetName val="저"/>
      <sheetName val="하조서"/>
      <sheetName val="가도공"/>
      <sheetName val="서∼군(2)"/>
      <sheetName val="금호"/>
      <sheetName val="데리네이타현황"/>
      <sheetName val="토적집계"/>
      <sheetName val="재개발"/>
      <sheetName val="45,46"/>
      <sheetName val="한강운반비"/>
      <sheetName val="목차"/>
      <sheetName val="소야공정계획표"/>
      <sheetName val="후다내역"/>
      <sheetName val="노임단가"/>
      <sheetName val="도급"/>
      <sheetName val="6공구(당초)"/>
      <sheetName val="품의서"/>
      <sheetName val="BID"/>
      <sheetName val="토목주소"/>
      <sheetName val="기초코드"/>
      <sheetName val="공업용수관로"/>
      <sheetName val="SP-B1"/>
      <sheetName val="을"/>
      <sheetName val="SG"/>
      <sheetName val="낙찰표"/>
      <sheetName val="98NS-N"/>
      <sheetName val="공통가설"/>
      <sheetName val="2.대외공문"/>
      <sheetName val="설계"/>
      <sheetName val="설계예산서"/>
      <sheetName val="입적표"/>
      <sheetName val="지주설치제원"/>
      <sheetName val="일위(토목)"/>
      <sheetName val="기본단가"/>
      <sheetName val="설 계"/>
      <sheetName val="경비"/>
      <sheetName val="대로근거"/>
      <sheetName val="중로근거"/>
      <sheetName val="자재단가"/>
      <sheetName val="부대내역"/>
      <sheetName val="일위대가표"/>
      <sheetName val="1.수인터널"/>
      <sheetName val="6PILE  (돌출)"/>
      <sheetName val="Total"/>
      <sheetName val="갑지(추정)"/>
      <sheetName val="물가시세"/>
      <sheetName val="총괄-1"/>
      <sheetName val="AS포장복구 "/>
      <sheetName val="Dae_Jiju"/>
      <sheetName val="Sikje_ingun"/>
      <sheetName val="TREE_D"/>
      <sheetName val="실행대비"/>
      <sheetName val="eq_data"/>
      <sheetName val="시공여유율"/>
      <sheetName val="초기화면"/>
      <sheetName val="98지급계획"/>
      <sheetName val="특수선일위대가"/>
      <sheetName val="SANTOGO"/>
      <sheetName val="대비"/>
      <sheetName val="2000년1차"/>
      <sheetName val="건축내역서"/>
      <sheetName val="단가비교표"/>
      <sheetName val="단가산출서"/>
      <sheetName val="원형1호맨홀토공수량"/>
      <sheetName val="입력시트"/>
      <sheetName val="장비집계"/>
      <sheetName val="보할"/>
      <sheetName val="결과조달"/>
      <sheetName val="원본(갑지)"/>
      <sheetName val="전기공사"/>
      <sheetName val="3차준공"/>
      <sheetName val="1공구_건정토건_토공"/>
      <sheetName val="1공구_건정토건_철콘"/>
      <sheetName val="도급표지_"/>
      <sheetName val="도급표지__(4)"/>
      <sheetName val="부대표지_(4)"/>
      <sheetName val="도급표지__(3)"/>
      <sheetName val="부대표지_(3)"/>
      <sheetName val="도급표지__(2)"/>
      <sheetName val="부대표지_(2)"/>
      <sheetName val="토__목"/>
      <sheetName val="조__경"/>
      <sheetName val="전_기"/>
      <sheetName val="건__축"/>
      <sheetName val="보도내역_(3)"/>
      <sheetName val="준검_내역서"/>
      <sheetName val="내역(최종본4.5)"/>
      <sheetName val="DATA"/>
      <sheetName val="실행내역"/>
      <sheetName val="접속도로1"/>
      <sheetName val="0.0ControlSheet"/>
      <sheetName val="0.1keyAssumption"/>
      <sheetName val="입찰품의서"/>
      <sheetName val="단"/>
      <sheetName val="전체_1설계"/>
      <sheetName val="수로단위수량"/>
      <sheetName val="공제구간조서"/>
      <sheetName val="건축내역"/>
      <sheetName val="횡배수관토공수량"/>
      <sheetName val="ELECTRIC"/>
      <sheetName val="A-7-1LINE(수량)"/>
      <sheetName val="Sheet1 (2)"/>
      <sheetName val="상-교대(A1-A2)"/>
      <sheetName val="기성신청"/>
      <sheetName val="하수급견적대비"/>
      <sheetName val="DATE"/>
      <sheetName val="시화점실행"/>
      <sheetName val="TYPE-A"/>
      <sheetName val="인건-측정"/>
      <sheetName val="공문(신)"/>
      <sheetName val="흥양2교토공집계표"/>
      <sheetName val="노임"/>
      <sheetName val="대치판정"/>
      <sheetName val="증감대비"/>
      <sheetName val="수량산출"/>
      <sheetName val="준공조서갑지"/>
      <sheetName val="실행내역서"/>
      <sheetName val="입출재고현황 (2)"/>
      <sheetName val="수문일1"/>
      <sheetName val="가시설"/>
      <sheetName val="2000년하반기"/>
      <sheetName val="여과지동"/>
      <sheetName val="기초자료"/>
      <sheetName val="맨홀수량"/>
      <sheetName val="배수통관(좌)"/>
      <sheetName val="강교(Sub)"/>
      <sheetName val="토사(PE)"/>
      <sheetName val="몰탈재료산출"/>
      <sheetName val="ABUT수량-A1"/>
      <sheetName val="연결임시"/>
      <sheetName val="BJJIN"/>
      <sheetName val="총괄내역서"/>
      <sheetName val="위치조서"/>
      <sheetName val="광산내역"/>
      <sheetName val="9GNG운반"/>
      <sheetName val="4.내진설계"/>
      <sheetName val="총괄"/>
      <sheetName val="2000전체분"/>
      <sheetName val="현장관리"/>
      <sheetName val="간접비"/>
      <sheetName val="자재일람"/>
      <sheetName val="표지"/>
      <sheetName val="type-F"/>
      <sheetName val="1.취수장"/>
      <sheetName val="일위대가(1)"/>
      <sheetName val="가로등내역서"/>
      <sheetName val="일위대가(가설)"/>
      <sheetName val="TB-내역서"/>
      <sheetName val="전차선로 물량표"/>
      <sheetName val="자재"/>
      <sheetName val="공통(20-91)"/>
      <sheetName val="wall"/>
      <sheetName val="N賃率-職"/>
      <sheetName val="공사비총괄표"/>
      <sheetName val="기계내역"/>
      <sheetName val="BSD (2)"/>
      <sheetName val="제잡비.xls"/>
      <sheetName val="배관단가조사서"/>
      <sheetName val="토공사"/>
      <sheetName val="노원열병합  건축공사기성내역서"/>
      <sheetName val="토목내역"/>
      <sheetName val="APT"/>
      <sheetName val="부하(성남)"/>
      <sheetName val="부하계산서"/>
      <sheetName val="STAND20"/>
      <sheetName val="nys"/>
      <sheetName val="전신"/>
      <sheetName val="수량조서"/>
      <sheetName val="전기일위대가"/>
      <sheetName val="1_수인터널"/>
      <sheetName val="6PILE__(돌출)"/>
      <sheetName val="2_대외공문"/>
      <sheetName val="설_계"/>
      <sheetName val="AS포장복구_"/>
      <sheetName val="인건비"/>
      <sheetName val="물량표"/>
      <sheetName val="공사"/>
      <sheetName val="설계예산"/>
      <sheetName val="충주"/>
      <sheetName val="을지"/>
      <sheetName val="구천"/>
      <sheetName val="교각1"/>
      <sheetName val="일위대가(계측기설치)"/>
      <sheetName val="현대물량"/>
      <sheetName val="단면가정"/>
      <sheetName val="설계조건"/>
      <sheetName val="부재력정리"/>
      <sheetName val="최초침전지집계표"/>
      <sheetName val="4)유동표"/>
      <sheetName val="CONCRETE"/>
      <sheetName val="전신환매도율"/>
      <sheetName val="설직재-1"/>
      <sheetName val="I一般比"/>
      <sheetName val="EQUIP-H"/>
      <sheetName val="코드표"/>
      <sheetName val="손익현황"/>
      <sheetName val="현황CODE"/>
      <sheetName val="교대(A1)"/>
      <sheetName val="6호기"/>
      <sheetName val="수자재단위당"/>
      <sheetName val="자재목록"/>
      <sheetName val="중기목록"/>
      <sheetName val="단가목록"/>
      <sheetName val="일위목록"/>
      <sheetName val="노임목록"/>
      <sheetName val="원가계산서"/>
      <sheetName val="견적서"/>
      <sheetName val="현장별계약현황('98.10.31)"/>
      <sheetName val="구의33고"/>
      <sheetName val="금액내역서"/>
      <sheetName val="세부내역"/>
      <sheetName val="설계내역서"/>
      <sheetName val="96보완계획7.12"/>
      <sheetName val="관급"/>
      <sheetName val="1. 설계조건 2.단면가정 3. 하중계산"/>
      <sheetName val="DATA 입력란"/>
      <sheetName val="적용대가"/>
      <sheetName val="인건비 "/>
      <sheetName val="3BL공동구 수량"/>
      <sheetName val="공종별산출내역서"/>
      <sheetName val="산출내역서집계표"/>
      <sheetName val="집계표(OPTION)"/>
      <sheetName val="MOTOR"/>
      <sheetName val="물집"/>
      <sheetName val="플랜트 설치"/>
      <sheetName val="실행내역서 "/>
      <sheetName val="화설내"/>
      <sheetName val="자재집계표"/>
      <sheetName val="부대입찰 내역서"/>
      <sheetName val="도급b_balju"/>
      <sheetName val="원가서"/>
      <sheetName val="200"/>
      <sheetName val="중기일위대가"/>
      <sheetName val="가격조사서"/>
      <sheetName val="교각계산"/>
      <sheetName val="조명시설"/>
      <sheetName val="단가"/>
      <sheetName val="관일"/>
      <sheetName val="철거산출근거"/>
      <sheetName val="노임이"/>
      <sheetName val="세금자료"/>
      <sheetName val="뚝토공"/>
      <sheetName val="토공(우물통,기타) "/>
      <sheetName val="명단"/>
      <sheetName val="인사자료총집계"/>
      <sheetName val="신대방33(적용)"/>
      <sheetName val=" 총괄표"/>
      <sheetName val="포장단면별단위수량"/>
      <sheetName val="2.고용보험료산출근거"/>
      <sheetName val="공사비예산서(토목분)"/>
      <sheetName val="원가계산 (2)"/>
      <sheetName val="포장공자재집계표"/>
      <sheetName val="골조시행"/>
      <sheetName val="단가조사"/>
      <sheetName val="Eq. Mobilization"/>
      <sheetName val="Y-WORK"/>
      <sheetName val="프랜트면허"/>
      <sheetName val="1.설계조건"/>
      <sheetName val="음료실행"/>
      <sheetName val="_REF"/>
      <sheetName val="s"/>
      <sheetName val="수량3"/>
      <sheetName val="확약서"/>
      <sheetName val="선정요령"/>
      <sheetName val="연습"/>
      <sheetName val="내역(최종본4_5)"/>
      <sheetName val="0_0ControlSheet"/>
      <sheetName val="0_1keyAssumption"/>
      <sheetName val="Front"/>
      <sheetName val="노무비"/>
      <sheetName val="건축집계"/>
      <sheetName val="현장관리비"/>
      <sheetName val="경영상태"/>
      <sheetName val="건축내역(진해석동)"/>
      <sheetName val="주경기-오배수"/>
      <sheetName val="실행간접비용"/>
      <sheetName val="보고"/>
      <sheetName val="COPING"/>
      <sheetName val="설계서"/>
      <sheetName val="예산서"/>
      <sheetName val="총공사비"/>
      <sheetName val="0Title"/>
      <sheetName val="일위(PN)"/>
      <sheetName val="집계"/>
      <sheetName val="날개벽(시점좌측)"/>
      <sheetName val="투찰(하수)"/>
      <sheetName val="전라자금"/>
      <sheetName val="b_yesan"/>
      <sheetName val="하중"/>
      <sheetName val="배수내역"/>
      <sheetName val="팔당터널(1공구)"/>
      <sheetName val="J直材4"/>
      <sheetName val="F4-F7"/>
      <sheetName val="장비당단가 (1)"/>
      <sheetName val="Sheet2 (2)"/>
      <sheetName val="업무"/>
      <sheetName val="Type(123)"/>
      <sheetName val="경영혁신본부"/>
      <sheetName val="1.설계기준"/>
      <sheetName val="수량산출서"/>
      <sheetName val="98수문일위"/>
      <sheetName val="내역서01"/>
      <sheetName val="97년 추정"/>
      <sheetName val="현장관리비 산출내역"/>
      <sheetName val="실행(ALT1)"/>
      <sheetName val="정보"/>
      <sheetName val="VXXXXXXX"/>
      <sheetName val="건설성적"/>
      <sheetName val="증감내역서"/>
      <sheetName val="전기단가조사서"/>
      <sheetName val="산수배수"/>
      <sheetName val="집계표(수배전제조구매)"/>
      <sheetName val="종단계산"/>
      <sheetName val="입적6-10"/>
      <sheetName val="공량산출서"/>
      <sheetName val="JUCKEYK"/>
      <sheetName val="건축-물가변동"/>
      <sheetName val="품셈TABLE"/>
      <sheetName val="현황산출서"/>
      <sheetName val="견적대비표"/>
      <sheetName val="단가(반정1교-원주)"/>
      <sheetName val="주요자재단가"/>
      <sheetName val="각형맨홀"/>
      <sheetName val="본공사"/>
      <sheetName val="S0"/>
      <sheetName val="자금청구"/>
      <sheetName val="DC-O-4-S(설명서)"/>
      <sheetName val="평균터파기고(1-2,ASP)"/>
      <sheetName val="프라임 강변역(4,236)"/>
      <sheetName val="마산방향"/>
      <sheetName val="경비2내역"/>
      <sheetName val="INPUT(덕도방향-시점)"/>
      <sheetName val="CPM챠트"/>
      <sheetName val="지우지마"/>
      <sheetName val="토목"/>
      <sheetName val="설계기준"/>
      <sheetName val="내역1"/>
      <sheetName val="내   역"/>
      <sheetName val="날개벽"/>
      <sheetName val="국내"/>
      <sheetName val="우석문틀"/>
      <sheetName val="Sheet9"/>
      <sheetName val="설계명세서"/>
      <sheetName val="예산M6-B"/>
      <sheetName val="AB자재단가"/>
      <sheetName val="견적을지"/>
      <sheetName val="장비별표(오거보링)(Ø400)(12M)"/>
      <sheetName val="신공항A-;(원가수정)"/>
      <sheetName val="기계경비"/>
      <sheetName val="발주설계서(당초)"/>
      <sheetName val="IW-LIST"/>
      <sheetName val="3F"/>
      <sheetName val="ITEM"/>
      <sheetName val="앵커구조계산"/>
      <sheetName val="집 계 표"/>
      <sheetName val="비교1"/>
      <sheetName val="콤보박스와 리스트박스의 연결"/>
      <sheetName val="유형처분"/>
      <sheetName val="설-원가"/>
      <sheetName val="건축적용원가계산"/>
      <sheetName val="상세산출"/>
      <sheetName val="적현로"/>
      <sheetName val="진주방향"/>
      <sheetName val="수토공단위당"/>
      <sheetName val="TOT"/>
      <sheetName val="밸브설치"/>
      <sheetName val="TEST1"/>
      <sheetName val="수량집계표"/>
      <sheetName val="횡배수관"/>
      <sheetName val="부안일위"/>
      <sheetName val="모래기초"/>
      <sheetName val="공정표 "/>
      <sheetName val="전체ﾴ엿서"/>
      <sheetName val="시중노임단가"/>
      <sheetName val="S12"/>
      <sheetName val="50-4(2차)"/>
      <sheetName val="건축공사"/>
      <sheetName val="배수공"/>
      <sheetName val="5.2코핑"/>
      <sheetName val="수 량 명 세 서 - 1"/>
      <sheetName val="구조물터파기수량집계"/>
      <sheetName val="측구터파기공수량집계"/>
      <sheetName val="배수공 시멘트 및 골재량 산출"/>
      <sheetName val="부대공Ⅱ"/>
      <sheetName val="지급자재"/>
      <sheetName val="7.PILE  (돌출)"/>
      <sheetName val="현경"/>
      <sheetName val="기초(1)"/>
      <sheetName val="세부내역서"/>
      <sheetName val="P.M 별"/>
      <sheetName val="예산내역서"/>
      <sheetName val="수입"/>
      <sheetName val="산출근거"/>
      <sheetName val="1호맨홀수량산출"/>
      <sheetName val="관련자료입력"/>
      <sheetName val="견적조건"/>
      <sheetName val="참조"/>
      <sheetName val="구조물철거타공정이월"/>
      <sheetName val="총집계표"/>
      <sheetName val="철근단면적"/>
      <sheetName val="2.건축"/>
      <sheetName val="자재입고내역"/>
      <sheetName val="노임대장(지역주민)"/>
      <sheetName val="노임대장(철근)"/>
      <sheetName val="노임대장(목수)"/>
      <sheetName val="(구조물용역-가람)"/>
      <sheetName val="노임대장(용역-가람)남자"/>
      <sheetName val="노임대장(용역-가람)여자"/>
      <sheetName val="노임대장(방수공)"/>
      <sheetName val="간지"/>
      <sheetName val="맨홀(2호)"/>
      <sheetName val="덕전리"/>
      <sheetName val="예산총괄표"/>
      <sheetName val="재료비"/>
      <sheetName val="대림경상68억"/>
      <sheetName val="8.PILE  (돌출)"/>
      <sheetName val="공사비산출내역"/>
      <sheetName val="신우"/>
      <sheetName val="울산자금"/>
      <sheetName val="機器明細(MC)"/>
      <sheetName val="변경후원본2"/>
      <sheetName val="강북라우터"/>
      <sheetName val="공사분석"/>
      <sheetName val="건집"/>
      <sheetName val="기집"/>
      <sheetName val="토집"/>
      <sheetName val="조집"/>
      <sheetName val="2000년 공정표"/>
      <sheetName val="입찰보고"/>
      <sheetName val="대우"/>
      <sheetName val="입찰"/>
      <sheetName val="마산월령동골조물량변경"/>
      <sheetName val="FB25JN"/>
      <sheetName val="전기"/>
      <sheetName val="데이타"/>
      <sheetName val="sw1"/>
      <sheetName val="1맨AO"/>
      <sheetName val="유림골조"/>
      <sheetName val="코드"/>
      <sheetName val="위생기구"/>
      <sheetName val="기계실냉난방"/>
      <sheetName val="수량산출서 갑지"/>
      <sheetName val="첨부1-1"/>
      <sheetName val="base"/>
      <sheetName val="빙설"/>
      <sheetName val="공통부대비"/>
      <sheetName val="내역분기"/>
      <sheetName val="별표 "/>
      <sheetName val="포설list원본"/>
      <sheetName val="CALCULATION"/>
      <sheetName val="차수"/>
      <sheetName val="1차설계변경내역"/>
      <sheetName val="choose"/>
      <sheetName val="설내역서 "/>
      <sheetName val="CIP 공사"/>
      <sheetName val="연부97-1"/>
      <sheetName val="갑지1"/>
      <sheetName val="간접경상비"/>
      <sheetName val="실행(표지,갑,을)"/>
      <sheetName val="일위대가목차"/>
      <sheetName val="기본사항"/>
      <sheetName val="2.교량(신설)"/>
      <sheetName val="구분자"/>
      <sheetName val="광통신 견적내역서1"/>
      <sheetName val="할증 "/>
      <sheetName val="전기실-1"/>
      <sheetName val="잡철물"/>
      <sheetName val="EJ"/>
      <sheetName val="교통대책내역"/>
      <sheetName val="unit 4"/>
      <sheetName val="당초"/>
      <sheetName val="1,2공구원가계산서"/>
      <sheetName val="2공구산출내역"/>
      <sheetName val="1공구산출내역서"/>
      <sheetName val="조명율표"/>
      <sheetName val="작성기준"/>
      <sheetName val="단중"/>
      <sheetName val="금융비용"/>
      <sheetName val="8)중점관리장비현황"/>
      <sheetName val="돈암사업"/>
      <sheetName val="효율표"/>
      <sheetName val="전체기준Data"/>
      <sheetName val="사통"/>
      <sheetName val="간접"/>
      <sheetName val="파이프류"/>
      <sheetName val="DATA 입력부"/>
      <sheetName val="A"/>
      <sheetName val="식재수량표"/>
      <sheetName val="식재일위"/>
      <sheetName val="깨기"/>
      <sheetName val="영업소실적"/>
      <sheetName val="EQUIP LIST"/>
      <sheetName val="경상비"/>
      <sheetName val="역T형"/>
      <sheetName val="보도경계블럭"/>
      <sheetName val="아파트-가설"/>
      <sheetName val="일위대가목록"/>
      <sheetName val="본부장"/>
      <sheetName val="TBN실행"/>
      <sheetName val="지중자재단가"/>
      <sheetName val="현장별"/>
      <sheetName val="설계변경내역서"/>
      <sheetName val="원가계산"/>
      <sheetName val="남양내역"/>
      <sheetName val="4.경비 5.영업외수지"/>
      <sheetName val="전체"/>
      <sheetName val="TS"/>
      <sheetName val="지급어음"/>
      <sheetName val="최종보고1"/>
      <sheetName val="9-1차이내역"/>
      <sheetName val=" 견적서"/>
      <sheetName val="Input"/>
      <sheetName val="3월"/>
      <sheetName val="CJE"/>
      <sheetName val="공통가설공사"/>
      <sheetName val="샘플표지"/>
      <sheetName val="표지 (2)"/>
      <sheetName val="명세서"/>
      <sheetName val="PI"/>
      <sheetName val="CTEMCOST"/>
      <sheetName val="토량1-1"/>
      <sheetName val="직공비"/>
      <sheetName val="NOMUBI"/>
      <sheetName val="마감사양"/>
      <sheetName val="5사남"/>
      <sheetName val="벽체면적당일위대가"/>
      <sheetName val="식재"/>
      <sheetName val="시설물"/>
      <sheetName val="식재출력용"/>
      <sheetName val="유지관리"/>
      <sheetName val="울산자동제어"/>
      <sheetName val="일위_파일"/>
      <sheetName val="조건"/>
      <sheetName val="일반부표"/>
      <sheetName val="원본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업무분장"/>
      <sheetName val="견적의뢰서"/>
      <sheetName val="현장일반사항"/>
      <sheetName val="유림콘도"/>
      <sheetName val="1공구_건정토건_토공1"/>
      <sheetName val="1공구_건정토건_철콘1"/>
      <sheetName val="도급표지_1"/>
      <sheetName val="도급표지__(4)1"/>
      <sheetName val="부대표지_(4)1"/>
      <sheetName val="도급표지__(3)1"/>
      <sheetName val="부대표지_(3)1"/>
      <sheetName val="도급표지__(2)1"/>
      <sheetName val="부대표지_(2)1"/>
      <sheetName val="토__목1"/>
      <sheetName val="조__경1"/>
      <sheetName val="전_기1"/>
      <sheetName val="건__축1"/>
      <sheetName val="출장내역"/>
      <sheetName val="10동"/>
      <sheetName val="C-노임단가"/>
      <sheetName val="전계가"/>
      <sheetName val="소비자가"/>
      <sheetName val="SUB일위대가"/>
      <sheetName val="database"/>
      <sheetName val="일위"/>
      <sheetName val="방송(체육관)"/>
      <sheetName val="Baby일위대가"/>
      <sheetName val="중기가격"/>
      <sheetName val="적용토목"/>
      <sheetName val="식재인부"/>
      <sheetName val="평자재단가"/>
      <sheetName val="단위중량"/>
      <sheetName val="기계경비일람"/>
      <sheetName val="내역서변경성원"/>
      <sheetName val="시운전연료"/>
      <sheetName val="WORK"/>
      <sheetName val="건축토목실행내역"/>
      <sheetName val="48일위"/>
      <sheetName val="49일위"/>
      <sheetName val="22일위"/>
      <sheetName val="TYPE1"/>
      <sheetName val="내역서(전기)"/>
      <sheetName val="BREAKDOWN(철거설치)"/>
      <sheetName val="기흥하도용"/>
      <sheetName val="교각"/>
      <sheetName val="수목단가"/>
      <sheetName val="시설수량표"/>
      <sheetName val="1.3.1절점좌표"/>
      <sheetName val="1.1설계기준"/>
      <sheetName val="총공사내역서"/>
      <sheetName val="보도내역_(3)1"/>
      <sheetName val="준검_내역서1"/>
      <sheetName val="4_내진설계"/>
      <sheetName val="입출재고현황_(2)"/>
      <sheetName val="Sheet1_(2)"/>
      <sheetName val="1차3회-개소별명세서-빨간색-인쇄용(21873)"/>
      <sheetName val="토목품셈"/>
      <sheetName val="4.장비손료"/>
      <sheetName val="산출금액내역"/>
      <sheetName val="1.본부별"/>
      <sheetName val="내역서당초"/>
      <sheetName val="동원(3)"/>
      <sheetName val="000000"/>
      <sheetName val="변경후-SHEET"/>
      <sheetName val="guard(mac)"/>
      <sheetName val="말고개터널조명전압강하"/>
      <sheetName val="2000.05"/>
      <sheetName val="표지 (3)"/>
      <sheetName val="주요자재1"/>
      <sheetName val="주요자재2"/>
      <sheetName val="시멘트골재량"/>
      <sheetName val="구조물골재"/>
      <sheetName val="철근1"/>
      <sheetName val="구조물타공종이월"/>
      <sheetName val="타공종이월"/>
      <sheetName val="철근수량1"/>
      <sheetName val="교각수량"/>
      <sheetName val="토공"/>
      <sheetName val="철근수량2"/>
      <sheetName val="교각집계"/>
      <sheetName val="교각토공"/>
      <sheetName val="교각철근"/>
      <sheetName val="교각집계 (2)"/>
      <sheetName val="교각토공 (2)"/>
      <sheetName val="교각철근 (2)"/>
      <sheetName val="제경비"/>
      <sheetName val="수량집계"/>
      <sheetName val="수량(교각)"/>
      <sheetName val="수량산출(2)"/>
      <sheetName val="단가(동바리)"/>
      <sheetName val="단가(강재운반)"/>
      <sheetName val="추진계획"/>
      <sheetName val="추진실적"/>
      <sheetName val="공정표"/>
      <sheetName val="일수계산"/>
      <sheetName val="터널공기"/>
      <sheetName val="지구단위계획"/>
      <sheetName val="원가"/>
      <sheetName val="업협(토공,철콘)"/>
      <sheetName val="실행예산"/>
      <sheetName val="시방서"/>
      <sheetName val="계약현황"/>
      <sheetName val="견적(토공)"/>
      <sheetName val="견적(철콘)"/>
      <sheetName val="xxxxxx"/>
      <sheetName val="0000"/>
      <sheetName val="현황"/>
      <sheetName val="철콘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 HIT-&gt;HMC 견적(3900)"/>
      <sheetName val="한전일위"/>
      <sheetName val="요율"/>
      <sheetName val="투찰내역"/>
      <sheetName val="간접비계산"/>
      <sheetName val="합계"/>
      <sheetName val="일위CODE"/>
      <sheetName val="Macro1"/>
      <sheetName val="중기비"/>
      <sheetName val="품셈"/>
      <sheetName val="#2_일위대가목록"/>
      <sheetName val="관급자재"/>
      <sheetName val="일  위  대  가  목  록"/>
      <sheetName val="당초명세(평)"/>
      <sheetName val="일위산출"/>
      <sheetName val="세부추진"/>
      <sheetName val="제안서"/>
      <sheetName val="상용보강"/>
      <sheetName val="행정표준(1)"/>
      <sheetName val="행정표준(2)"/>
      <sheetName val="1공구원가계산서"/>
      <sheetName val="1유리"/>
      <sheetName val="금액결정"/>
      <sheetName val="인부신상자료"/>
      <sheetName val="장문교(대전)"/>
      <sheetName val="간접(90)"/>
      <sheetName val="우배수"/>
      <sheetName val="계산식"/>
      <sheetName val="INSTR"/>
      <sheetName val="조건표"/>
      <sheetName val="장비"/>
      <sheetName val="산근1"/>
      <sheetName val="노무"/>
      <sheetName val="설계가"/>
      <sheetName val="품셈총괄표"/>
      <sheetName val="교각토공 _2_"/>
      <sheetName val="일위대가D"/>
      <sheetName val="HRSG SMALL07220"/>
      <sheetName val="기본설계기준"/>
      <sheetName val="단가적용"/>
      <sheetName val="운반비요율"/>
      <sheetName val="6. 안전관리비"/>
      <sheetName val="유동표"/>
      <sheetName val="하도내역 (철콘)"/>
      <sheetName val="특기사항"/>
      <sheetName val="b_balju"/>
      <sheetName val="3.공통공사대비"/>
      <sheetName val="내역(한신APT)"/>
      <sheetName val="Macro2"/>
      <sheetName val="1단계"/>
      <sheetName val="일위총괄"/>
      <sheetName val="작업일보"/>
      <sheetName val="내역전기"/>
      <sheetName val="노무비 근거"/>
      <sheetName val="수정2"/>
      <sheetName val="표지1"/>
      <sheetName val="조건표 (2)"/>
      <sheetName val="10공구일위"/>
      <sheetName val="3개월-백데이타"/>
      <sheetName val="LG배관재단가"/>
      <sheetName val="다다수전류단가"/>
      <sheetName val="LG유통상품단가표"/>
      <sheetName val="임율 Data"/>
      <sheetName val="FORM-0"/>
      <sheetName val="작성방법"/>
      <sheetName val="안산기계장치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토공유동표(전체.당초)"/>
      <sheetName val="개거총"/>
      <sheetName val="일위대가목록표"/>
      <sheetName val="추가예산"/>
      <sheetName val="목차 "/>
      <sheetName val="일위산출근거"/>
      <sheetName val="단위단가"/>
      <sheetName val="예산총괄"/>
      <sheetName val="공정집계_국별"/>
      <sheetName val="표준건축비"/>
      <sheetName val="별표집계"/>
      <sheetName val="A1"/>
      <sheetName val="일위단가"/>
      <sheetName val="c_balju"/>
      <sheetName val="입력데이타"/>
      <sheetName val="ORIGIN"/>
      <sheetName val="노임조서"/>
      <sheetName val="IT-BAT"/>
      <sheetName val="수문일위1"/>
      <sheetName val="중기"/>
      <sheetName val="U형개거"/>
      <sheetName val="인원"/>
      <sheetName val="약품공급2"/>
      <sheetName val="DHEQSUPT"/>
      <sheetName val="호안사석"/>
      <sheetName val="배수자집"/>
      <sheetName val="유입량"/>
      <sheetName val="표지_(3)"/>
      <sheetName val="표지_(2)"/>
      <sheetName val="교각집계_(2)"/>
      <sheetName val="교각토공_(2)"/>
      <sheetName val="교각철근_(2)"/>
      <sheetName val="외주대비_-석축"/>
      <sheetName val="외주대비-구조물_(2)"/>
      <sheetName val="견적표지_(3)"/>
      <sheetName val="_HIT-&gt;HMC_견적(3900)"/>
      <sheetName val="일__위__대__가__목__록"/>
      <sheetName val="교각토공__2_"/>
      <sheetName val="6__안전관리비"/>
      <sheetName val="3_공통공사대비"/>
      <sheetName val="HRSG_SMALL07220"/>
      <sheetName val="97년_추정"/>
      <sheetName val="이월"/>
      <sheetName val="2터널시점"/>
      <sheetName val="SLAB근거-1"/>
      <sheetName val="단면 (2)"/>
      <sheetName val="업체별기성내역"/>
      <sheetName val="포장(수량)-관로부"/>
      <sheetName val="기초1"/>
      <sheetName val="잡비"/>
      <sheetName val="음성방향"/>
      <sheetName val="유치원내역"/>
      <sheetName val="P_RPTB04_산근"/>
      <sheetName val="하도금액분계"/>
      <sheetName val="견적"/>
      <sheetName val="수량분개내역"/>
      <sheetName val="간선계산"/>
      <sheetName val="b_balju (2)"/>
      <sheetName val="b_gunmul"/>
      <sheetName val="내역(2000년)"/>
      <sheetName val="일일"/>
      <sheetName val="#2정산"/>
      <sheetName val="DANGA"/>
      <sheetName val="첨부1"/>
      <sheetName val="기본단가표"/>
      <sheetName val="8.현장관리비"/>
      <sheetName val="7.안전관리비"/>
      <sheetName val="7. 현장관리비 "/>
      <sheetName val="노무비 "/>
      <sheetName val="내역서 제출"/>
      <sheetName val="자료입력"/>
      <sheetName val="제경비산출서"/>
      <sheetName val="단가표"/>
      <sheetName val="공사비증감"/>
      <sheetName val="BND"/>
      <sheetName val="공사내역서(을)실행"/>
      <sheetName val="환기시설"/>
      <sheetName val="조명"/>
      <sheetName val="점보전력사용"/>
      <sheetName val="단면"/>
      <sheetName val="배수처리"/>
      <sheetName val="입력자료(노무비)"/>
      <sheetName val="일위대가표48"/>
      <sheetName val="2000용수잠관-수량집계"/>
      <sheetName val="구조     ."/>
      <sheetName val="토공(1)"/>
      <sheetName val="차수공(1)"/>
      <sheetName val="전문하도급"/>
      <sheetName val="교량전기"/>
      <sheetName val="평가데이터"/>
      <sheetName val="인명부"/>
      <sheetName val="장비단가"/>
      <sheetName val="가스"/>
      <sheetName val="양수장(기계)"/>
      <sheetName val="직접비"/>
      <sheetName val="건장설비"/>
      <sheetName val="(당평)자재"/>
      <sheetName val="사업관리"/>
      <sheetName val="운반"/>
      <sheetName val="물가자료"/>
      <sheetName val="기성갑지"/>
      <sheetName val="간 지1"/>
      <sheetName val="일위(시설)"/>
      <sheetName val="콘크리트타설집계표"/>
      <sheetName val="화재 탐지 설비"/>
      <sheetName val="(원)기흥상갈"/>
      <sheetName val="4.일위대가집계"/>
      <sheetName val="날개벽수량표"/>
      <sheetName val="5. 현장관리비(new) "/>
      <sheetName val="Customer Databas"/>
      <sheetName val="예가표"/>
      <sheetName val="결재난"/>
      <sheetName val="방배동내역(리라)"/>
      <sheetName val="현장경비"/>
      <sheetName val="건축공사집계표"/>
      <sheetName val="방배동내역 (총괄)"/>
      <sheetName val="부대공사총괄"/>
      <sheetName val="tggwan(mac)"/>
      <sheetName val="만년달력"/>
      <sheetName val="단가산출(T)"/>
      <sheetName val="공사원가계산서"/>
      <sheetName val="인사자료"/>
      <sheetName val="맨홀수량산출"/>
      <sheetName val="재료집계표"/>
      <sheetName val="cable-data"/>
      <sheetName val="노무비산출"/>
      <sheetName val="FI원가_1"/>
      <sheetName val="포장공"/>
      <sheetName val="구조물"/>
      <sheetName val="근로자자료입력"/>
      <sheetName val="참고자료"/>
      <sheetName val="배수관공"/>
      <sheetName val="측구공"/>
      <sheetName val="투찰내역서"/>
      <sheetName val="1_수인터널1"/>
      <sheetName val="6PILE__(돌출)1"/>
      <sheetName val="AS포장복구_1"/>
      <sheetName val="2_대외공문1"/>
      <sheetName val="설_계1"/>
      <sheetName val="CIP_공사"/>
      <sheetName val="실행내역서_"/>
      <sheetName val="1_설계조건"/>
      <sheetName val="노원열병합__건축공사기성내역서"/>
      <sheetName val="1__설계조건_2_단면가정_3__하중계산"/>
      <sheetName val="DATA_입력란"/>
      <sheetName val="_총괄표"/>
      <sheetName val="인건비_"/>
      <sheetName val="BSD_(2)"/>
      <sheetName val="1_취수장"/>
      <sheetName val="전차선로_물량표"/>
      <sheetName val="96보완계획7_12"/>
      <sheetName val="콤보박스와_리스트박스의_연결"/>
      <sheetName val="제잡비_xls"/>
      <sheetName val="3BL공동구_수량"/>
      <sheetName val="부대입찰_내역서"/>
      <sheetName val="2_고용보험료산출근거"/>
      <sheetName val="설내역서_"/>
      <sheetName val="1공구_건정토건_토공2"/>
      <sheetName val="#3E1_GCR"/>
      <sheetName val="소소총괄표"/>
      <sheetName val="남양시작동010313100%"/>
      <sheetName val="입찰내역"/>
      <sheetName val="96노임기준"/>
      <sheetName val="상수도토공집계표"/>
      <sheetName val="기본DATA"/>
      <sheetName val="구단"/>
      <sheetName val="기초입력 DATA"/>
      <sheetName val="1공구_건정토건_철콘2"/>
      <sheetName val="도급표지_2"/>
      <sheetName val="도급표지__(4)2"/>
      <sheetName val="부대표지_(4)2"/>
      <sheetName val="도급표지__(3)2"/>
      <sheetName val="부대표지_(3)2"/>
      <sheetName val="도급표지__(2)2"/>
      <sheetName val="부대표지_(2)2"/>
      <sheetName val="토__목2"/>
      <sheetName val="조__경2"/>
      <sheetName val="전_기2"/>
      <sheetName val="건__축2"/>
      <sheetName val="보도내역_(3)2"/>
      <sheetName val="준검_내역서2"/>
      <sheetName val="1_수인터널2"/>
      <sheetName val="AS포장복구_2"/>
      <sheetName val="2_대외공문2"/>
      <sheetName val="6PILE__(돌출)2"/>
      <sheetName val="설_계2"/>
      <sheetName val="내역(최종본4_5)2"/>
      <sheetName val="Sheet1_(2)1"/>
      <sheetName val="0_0ControlSheet2"/>
      <sheetName val="0_1keyAssumption2"/>
      <sheetName val="입출재고현황_(2)1"/>
      <sheetName val="부대입찰_내역서1"/>
      <sheetName val="전차선로_물량표1"/>
      <sheetName val="BSD_(2)1"/>
      <sheetName val="4_내진설계1"/>
      <sheetName val="3BL공동구_수량1"/>
      <sheetName val="토공(우물통,기타)_1"/>
      <sheetName val="96보완계획7_121"/>
      <sheetName val="1__설계조건_2_단면가정_3__하중계산1"/>
      <sheetName val="DATA_입력란1"/>
      <sheetName val="1_취수장1"/>
      <sheetName val="인건비_1"/>
      <sheetName val="_총괄표1"/>
      <sheetName val="제잡비_xls1"/>
      <sheetName val="2_고용보험료산출근거1"/>
      <sheetName val="Eq__Mobilization1"/>
      <sheetName val="원가계산_(2)1"/>
      <sheetName val="실행내역서_1"/>
      <sheetName val="노원열병합__건축공사기성내역서1"/>
      <sheetName val="97년_추정1"/>
      <sheetName val="현장관리비_산출내역1"/>
      <sheetName val="1_설계조건1"/>
      <sheetName val="현장별계약현황('98_10_31)1"/>
      <sheetName val="콤보박스와_리스트박스의_연결1"/>
      <sheetName val="플랜트_설치1"/>
      <sheetName val="내역(최종본4_5)1"/>
      <sheetName val="0_0ControlSheet1"/>
      <sheetName val="0_1keyAssumption1"/>
      <sheetName val="토공(우물통,기타)_"/>
      <sheetName val="Eq__Mobilization"/>
      <sheetName val="원가계산_(2)"/>
      <sheetName val="현장관리비_산출내역"/>
      <sheetName val="현장별계약현황('98_10_31)"/>
      <sheetName val="플랜트_설치"/>
      <sheetName val="현금흐름"/>
      <sheetName val="1안"/>
      <sheetName val="1-1호"/>
      <sheetName val="정부노임"/>
      <sheetName val="입력"/>
      <sheetName val="품셈(기초)"/>
      <sheetName val="설계명세"/>
      <sheetName val="Mc1"/>
      <sheetName val="Sheet14"/>
      <sheetName val="Sheet13"/>
      <sheetName val="주식"/>
      <sheetName val="개산공사비"/>
      <sheetName val="도"/>
      <sheetName val="XL4Poppy"/>
      <sheetName val="CODE"/>
      <sheetName val="정렬"/>
      <sheetName val="Macro(전동기)"/>
      <sheetName val="현장지지물물량"/>
      <sheetName val="공통자료"/>
      <sheetName val="안전시설내역서"/>
      <sheetName val="배수문"/>
      <sheetName val="내부마감"/>
      <sheetName val="재활용 악취_먼지DUCT산출"/>
      <sheetName val="항목지정"/>
      <sheetName val="경비산출"/>
      <sheetName val="평3"/>
      <sheetName val="쌍송교"/>
      <sheetName val="말뚝지지력산정"/>
      <sheetName val="증감분석"/>
      <sheetName val="상호참고자료"/>
      <sheetName val="발주처자료입력"/>
      <sheetName val="회사기본자료"/>
      <sheetName val="하자보증자료"/>
      <sheetName val="기술자관련자료"/>
      <sheetName val="다곡2교"/>
      <sheetName val="일반수량"/>
      <sheetName val="입력그림"/>
      <sheetName val="흄관기초"/>
      <sheetName val="학생내역"/>
      <sheetName val="공문"/>
      <sheetName val="기둥(원형)"/>
      <sheetName val="바닥판"/>
      <sheetName val="간접재료비산출표-27-30"/>
      <sheetName val="기기리스트"/>
      <sheetName val="시설물기초"/>
      <sheetName val="산출근거(S4)"/>
      <sheetName val="단가조사-2"/>
      <sheetName val="VE절감"/>
      <sheetName val="터파기및재료"/>
      <sheetName val="본사인상전"/>
      <sheetName val="SF내역및원가02"/>
      <sheetName val="인원현황"/>
      <sheetName val="예산M12A"/>
      <sheetName val="예산M2"/>
      <sheetName val="송라터널총괄"/>
      <sheetName val="매원개착터널총괄"/>
      <sheetName val="점수계산1-2"/>
      <sheetName val="남양시작동자105노65기1.3화1.2"/>
      <sheetName val="관음목장(제출용)자105인97.5"/>
      <sheetName val="식재일위대가"/>
      <sheetName val="기초일위대가"/>
      <sheetName val="단가대비표"/>
      <sheetName val="내역총괄"/>
      <sheetName val="내역총괄2"/>
      <sheetName val="내역총괄3"/>
      <sheetName val="1F"/>
      <sheetName val="단중표"/>
      <sheetName val="산출기준(파견전산실)"/>
      <sheetName val="VXXXXX"/>
      <sheetName val="원남"/>
      <sheetName val="원가계산(조,투,실)"/>
      <sheetName val="관리비"/>
      <sheetName val="조사가추정"/>
      <sheetName val="업체"/>
      <sheetName val="대비집계장(견적)"/>
      <sheetName val="설계집계장"/>
      <sheetName val="실행집계장"/>
      <sheetName val="투찰집계장"/>
      <sheetName val="♣총괄내역서♣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설비"/>
      <sheetName val="PROJECT BRIEF"/>
      <sheetName val="감액총괄표"/>
      <sheetName val="이자율"/>
      <sheetName val="정의"/>
      <sheetName val="영동(D)"/>
      <sheetName val="DATA2000"/>
      <sheetName val="5.정산서"/>
      <sheetName val="포장직선구간"/>
      <sheetName val="현장관리비데이타"/>
      <sheetName val="공정코드"/>
      <sheetName val="재료"/>
      <sheetName val="현장식당(1)"/>
      <sheetName val="기안"/>
      <sheetName val="예총"/>
      <sheetName val="배명(단가)"/>
      <sheetName val="형틀공사"/>
      <sheetName val="물량산출근거"/>
      <sheetName val="산근"/>
      <sheetName val="자재co"/>
      <sheetName val="UR2-Calculation"/>
      <sheetName val="빙100장비사양"/>
      <sheetName val="입력값"/>
      <sheetName val="설계기준 및 하중계산"/>
      <sheetName val="1062-X방향 "/>
      <sheetName val="일반관리비전체분당초변경대비표"/>
      <sheetName val="사용계획"/>
      <sheetName val="지급수수료월별금액산정"/>
      <sheetName val="상가지급현황"/>
      <sheetName val="Ⅱ1-0타"/>
      <sheetName val="내역및원가02"/>
      <sheetName val="전체내역 (2)"/>
      <sheetName val="Hyundai.Unit.cost.xls"/>
      <sheetName val="부산제일극장"/>
      <sheetName val="수주현황2월"/>
      <sheetName val="단위수량"/>
      <sheetName val="배수장토목공사비"/>
      <sheetName val="3차토목내역"/>
      <sheetName val="말뚝기초(안정검토)-외측"/>
      <sheetName val="TABLE DB"/>
      <sheetName val="쌍용 data base"/>
      <sheetName val="예정(3)"/>
      <sheetName val="가중치"/>
      <sheetName val="설계내역"/>
      <sheetName val="조명일위"/>
      <sheetName val="원내역서 그대로"/>
      <sheetName val="제거식EA"/>
      <sheetName val="NAIL단가산출"/>
      <sheetName val="단양 00 아파트-세부내역"/>
      <sheetName val="공사수행보고"/>
      <sheetName val="작성"/>
      <sheetName val="수목데이타 "/>
      <sheetName val="대공종"/>
      <sheetName val="가시설(TYPE-A)"/>
      <sheetName val="1-1평균터파기고(1)"/>
      <sheetName val="램머"/>
      <sheetName val="부대공자재집계표"/>
      <sheetName val="일위대가-01"/>
      <sheetName val="사진"/>
      <sheetName val="L형옹벽"/>
      <sheetName val="포장절단"/>
      <sheetName val="1호맨홀토공"/>
      <sheetName val="Sight n M.H"/>
      <sheetName val="Trend(Agitator)"/>
      <sheetName val="경산"/>
      <sheetName val="단가 "/>
      <sheetName val="인원계획"/>
      <sheetName val="환율change"/>
      <sheetName val="GRDBS"/>
      <sheetName val="4 LINE"/>
      <sheetName val="7 th"/>
      <sheetName val="C10집계2"/>
      <sheetName val=" 갑지"/>
      <sheetName val="입력정보"/>
      <sheetName val="인계"/>
      <sheetName val="수리결과"/>
      <sheetName val="BQ"/>
      <sheetName val="SHL"/>
      <sheetName val="RE9604"/>
      <sheetName val="우수"/>
      <sheetName val="일위집계(기존)"/>
      <sheetName val="A LINE"/>
      <sheetName val="케이블규격"/>
      <sheetName val="COVERSHEET"/>
      <sheetName val="소화실적"/>
      <sheetName val="일반공사"/>
      <sheetName val="하도내역_(철콘)"/>
      <sheetName val="노무비_근거"/>
      <sheetName val="임율_Data"/>
      <sheetName val="조건표_(2)"/>
      <sheetName val="목차_"/>
      <sheetName val="1_설계기준"/>
      <sheetName val="7__현장관리비_"/>
      <sheetName val="단위별용량계산"/>
      <sheetName val="5_ 현장관리비_new_ "/>
      <sheetName val="Temporary Mooring"/>
      <sheetName val="중기조종사 단위단가"/>
      <sheetName val="lab"/>
      <sheetName val="단위량당중기"/>
      <sheetName val="격점별물량"/>
      <sheetName val="금리계산"/>
      <sheetName val="일H35Y4"/>
      <sheetName val="청천내"/>
      <sheetName val="기자재비"/>
      <sheetName val="U-TYPE(1)"/>
      <sheetName val="700seg"/>
      <sheetName val="건설실행"/>
      <sheetName val="원도급"/>
      <sheetName val="하도급"/>
      <sheetName val="내역서2안"/>
      <sheetName val="일위목록데이타"/>
      <sheetName val="일위대가집계"/>
      <sheetName val="식재가격"/>
      <sheetName val="식재총괄"/>
      <sheetName val="총 원가계산"/>
      <sheetName val="분전반일위대가"/>
      <sheetName val="매출요약(월별) -년간"/>
      <sheetName val="단위수량산출"/>
      <sheetName val="Piping Design Data"/>
      <sheetName val="4 &amp; 10-inch, CO2 Combo &amp; Sweep"/>
      <sheetName val="__MAIN"/>
      <sheetName val="과천MAIN"/>
      <sheetName val="터널조도"/>
      <sheetName val="부하LOAD"/>
      <sheetName val="1호맨홀가감수량"/>
      <sheetName val="ilch"/>
      <sheetName val="Table"/>
      <sheetName val="대비표"/>
      <sheetName val="일위대가목록(ems)"/>
      <sheetName val="기성내역"/>
      <sheetName val="전도금월정금액"/>
      <sheetName val="마산방향철근집계"/>
      <sheetName val="측량요율"/>
      <sheetName val="자재대"/>
      <sheetName val="점검총괄"/>
      <sheetName val="제출내역 (2)"/>
      <sheetName val="동천하상준설"/>
      <sheetName val="소방"/>
      <sheetName val="969910( R)"/>
      <sheetName val="심사"/>
      <sheetName val="편성절차"/>
      <sheetName val="구조물공"/>
      <sheetName val="부대공"/>
      <sheetName val="2002자금수지계획(진행+신규)"/>
      <sheetName val="2변경1"/>
      <sheetName val="철골공사"/>
      <sheetName val="2.2_오피스텔(12~32F)"/>
      <sheetName val="기본일위"/>
      <sheetName val="일용직6월"/>
      <sheetName val="이형관중량"/>
      <sheetName val="일위대가(목록)"/>
      <sheetName val="산근(목록)"/>
      <sheetName val="월별손익"/>
      <sheetName val="COVER"/>
      <sheetName val="양덕동"/>
      <sheetName val="추가일위대가"/>
      <sheetName val="COVER-P"/>
      <sheetName val="자동제어"/>
      <sheetName val="화전내"/>
      <sheetName val="70%"/>
      <sheetName val="일위총괄표"/>
      <sheetName val="252K444"/>
      <sheetName val="하중계산"/>
      <sheetName val="철근량"/>
      <sheetName val="일위대가 집계표"/>
      <sheetName val="일용직"/>
      <sheetName val="중기조종사_단위단가"/>
      <sheetName val="단면_(2)"/>
      <sheetName val="법면"/>
      <sheetName val="배수공1"/>
      <sheetName val="원가계산서(변경)"/>
      <sheetName val="터널대가"/>
      <sheetName val="관개"/>
      <sheetName val="9.1지하2층하부보"/>
      <sheetName val="일대"/>
      <sheetName val="단계별내역 (2)"/>
      <sheetName val="계측기"/>
      <sheetName val="인천제철"/>
      <sheetName val="주요항목별"/>
      <sheetName val="골조"/>
      <sheetName val="퍼스트"/>
      <sheetName val="변경내역"/>
      <sheetName val="4.일위대가"/>
      <sheetName val="제수변수량"/>
      <sheetName val="계약서"/>
      <sheetName val="ASALTOTA"/>
      <sheetName val="총수량집계표"/>
      <sheetName val="수장"/>
      <sheetName val="01"/>
      <sheetName val="은행"/>
      <sheetName val="집계표(공종별)"/>
      <sheetName val="교통표지판수량집계표"/>
      <sheetName val="전도품의"/>
      <sheetName val="손익분석"/>
      <sheetName val="전국현황"/>
      <sheetName val="2F 회의실견적(5_14 일대)"/>
      <sheetName val="울산시산표"/>
      <sheetName val="포장수량집계"/>
      <sheetName val="(C)원내역"/>
      <sheetName val="외주가공"/>
      <sheetName val="경비 (1)"/>
      <sheetName val="b_balju_cho"/>
      <sheetName val="공통비"/>
      <sheetName val="VENDOR LIST"/>
      <sheetName val="성서방향-교대(A2)"/>
      <sheetName val="횡날개수집"/>
      <sheetName val="중기단가"/>
      <sheetName val="표층포설및다짐"/>
      <sheetName val="참조-(1)"/>
      <sheetName val="소방사항"/>
      <sheetName val="관리"/>
      <sheetName val="적정"/>
      <sheetName val="실행"/>
      <sheetName val="하도"/>
      <sheetName val="별지"/>
      <sheetName val="보링"/>
      <sheetName val="철물"/>
      <sheetName val="철강재"/>
      <sheetName val="견적내역"/>
      <sheetName val="합의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중기가격(03)"/>
      <sheetName val="경비단가(02)"/>
      <sheetName val="총괄내역"/>
      <sheetName val="가시설수량"/>
      <sheetName val="가시설단위수량"/>
      <sheetName val="SORCE1"/>
      <sheetName val="장비가동"/>
      <sheetName val="현장업무"/>
      <sheetName val="품셈표"/>
      <sheetName val="신복2"/>
      <sheetName val="MAIN_TABLE"/>
      <sheetName val="현장"/>
      <sheetName val="전선 및 전선관"/>
      <sheetName val="수지표"/>
      <sheetName val="셀명"/>
      <sheetName val="총괄수지표"/>
      <sheetName val="도수로현황"/>
      <sheetName val="DB"/>
      <sheetName val="건축"/>
      <sheetName val="공주방향"/>
      <sheetName val="5호광장_(만점)"/>
      <sheetName val="인천국제_(만점)_(2)"/>
      <sheetName val="배수공_시멘트_및_골재량_산출"/>
      <sheetName val="대운산출"/>
      <sheetName val="산3_4"/>
      <sheetName val="정공공사"/>
      <sheetName val="단면설계"/>
      <sheetName val="안정검토"/>
      <sheetName val="용집"/>
      <sheetName val="한성교회 신축공사(050713)_CheckList"/>
      <sheetName val="소일위대가코드표"/>
      <sheetName val="1공구_건정토건_토공3"/>
      <sheetName val="1공구_건정토건_철콘3"/>
      <sheetName val="도급표지_3"/>
      <sheetName val="도급표지__(4)3"/>
      <sheetName val="부대표지_(4)3"/>
      <sheetName val="도급표지__(3)3"/>
      <sheetName val="부대표지_(3)3"/>
      <sheetName val="도급표지__(2)3"/>
      <sheetName val="부대표지_(2)3"/>
      <sheetName val="토__목3"/>
      <sheetName val="조__경3"/>
      <sheetName val="전_기3"/>
      <sheetName val="건__축3"/>
      <sheetName val="보도내역_(3)3"/>
      <sheetName val="준검_내역서3"/>
      <sheetName val="1_수인터널3"/>
      <sheetName val="6PILE__(돌출)3"/>
      <sheetName val="0_0ControlSheet3"/>
      <sheetName val="0_1keyAssumption3"/>
      <sheetName val="2_대외공문3"/>
      <sheetName val="설_계3"/>
      <sheetName val="Sheet1_(2)2"/>
      <sheetName val="AS포장복구_3"/>
      <sheetName val="내역(최종본4_5)3"/>
      <sheetName val="입출재고현황_(2)2"/>
      <sheetName val="96보완계획7_122"/>
      <sheetName val="1_취수장2"/>
      <sheetName val="_총괄표2"/>
      <sheetName val="전차선로_물량표2"/>
      <sheetName val="BSD_(2)2"/>
      <sheetName val="4_내진설계2"/>
      <sheetName val="인건비_2"/>
      <sheetName val="1__설계조건_2_단면가정_3__하중계산2"/>
      <sheetName val="DATA_입력란2"/>
      <sheetName val="2_고용보험료산출근거2"/>
      <sheetName val="노원열병합__건축공사기성내역서2"/>
      <sheetName val="제잡비_xls2"/>
      <sheetName val="3BL공동구_수량2"/>
      <sheetName val="부대입찰_내역서2"/>
      <sheetName val="토공(우물통,기타)_2"/>
      <sheetName val="현장별계약현황('98_10_31)2"/>
      <sheetName val="실행내역서_2"/>
      <sheetName val="원가계산_(2)2"/>
      <sheetName val="Eq__Mobilization2"/>
      <sheetName val="1_설계조건2"/>
      <sheetName val="플랜트_설치2"/>
      <sheetName val="콤보박스와_리스트박스의_연결2"/>
      <sheetName val="97년_추정2"/>
      <sheetName val="현장관리비_산출내역2"/>
      <sheetName val="장비당단가_(1)"/>
      <sheetName val="Sheet2_(2)"/>
      <sheetName val="내___역"/>
      <sheetName val="2_건축"/>
      <sheetName val="수_량_명_세_서_-_1"/>
      <sheetName val="프라임_강변역(4,236)"/>
      <sheetName val="8_PILE__(돌출)"/>
      <sheetName val="2000년_공정표"/>
      <sheetName val="집_계_표"/>
      <sheetName val="공정표_"/>
      <sheetName val="별표_"/>
      <sheetName val="설내역서_1"/>
      <sheetName val="CIP_공사1"/>
      <sheetName val="2_교량(신설)"/>
      <sheetName val="5_2코핑"/>
      <sheetName val="P_M_별"/>
      <sheetName val="7_PILE__(돌출)"/>
      <sheetName val="DATA_입력부"/>
      <sheetName val="4_장비손료"/>
      <sheetName val="표지_(3)1"/>
      <sheetName val="표지_(2)1"/>
      <sheetName val="교각집계_(2)1"/>
      <sheetName val="교각토공_(2)1"/>
      <sheetName val="교각철근_(2)1"/>
      <sheetName val="외주대비_-석축1"/>
      <sheetName val="외주대비-구조물_(2)1"/>
      <sheetName val="견적표지_(3)1"/>
      <sheetName val="_HIT-&gt;HMC_견적(3900)1"/>
      <sheetName val="일__위__대__가__목__록1"/>
      <sheetName val="4_경비_5_영업외수지"/>
      <sheetName val="_견적서"/>
      <sheetName val="광통신_견적내역서1"/>
      <sheetName val="할증_"/>
      <sheetName val="unit_4"/>
      <sheetName val="2000_05"/>
      <sheetName val="교각토공__2_1"/>
      <sheetName val="수량산출서_갑지"/>
      <sheetName val="HRSG_SMALL072201"/>
      <sheetName val="6__안전관리비1"/>
      <sheetName val="3_공통공사대비1"/>
      <sheetName val="1_3_1절점좌표"/>
      <sheetName val="1_1설계기준"/>
      <sheetName val="단양_00_아파트-세부내역"/>
      <sheetName val="2차전체변경예정_(2)"/>
      <sheetName val="토공유동표(전체_당초)"/>
      <sheetName val="b_balju_(2)"/>
      <sheetName val="8_현장관리비"/>
      <sheetName val="7_안전관리비"/>
      <sheetName val="노무비_"/>
      <sheetName val="내역서_제출"/>
      <sheetName val="구조______"/>
      <sheetName val="간_지1"/>
      <sheetName val="화재_탐지_설비"/>
      <sheetName val="4_일위대가집계"/>
      <sheetName val="5__현장관리비(new)_"/>
      <sheetName val="Customer_Databas"/>
      <sheetName val="방배동내역_(총괄)"/>
      <sheetName val="EQUIP_LIST"/>
      <sheetName val="5_정산서"/>
      <sheetName val="1_본부별"/>
      <sheetName val="기초입력_DATA"/>
      <sheetName val="재활용_악취_먼지DUCT산출"/>
      <sheetName val="현장관리비내역서"/>
      <sheetName val="BOJUNGGM"/>
      <sheetName val="공사비"/>
      <sheetName val="배선(낙차)"/>
      <sheetName val="단Ⰰ비교표"/>
      <sheetName val="실唉내역서"/>
      <sheetName val="㋨가산출서"/>
      <sheetName val="시噔점쉤행"/>
      <sheetName val="횡배수ⴀ토공수량"/>
      <sheetName val="공䠜구간조서"/>
      <sheetName val="배수턵관(䢌)"/>
      <sheetName val="공㬸(신)"/>
      <sheetName val="강ⵐ(Sub)"/>
      <sheetName val="준걵조서Ⱁ지"/>
      <sheetName val="9GNG옴반"/>
      <sheetName val="㶀하(성남)"/>
      <sheetName val="부啘계산서"/>
      <sheetName val="冠사(PE)"/>
      <sheetName val="몰큈재료䂰출"/>
      <sheetName val="䣐_x0000__x0000_갑쥀)"/>
      <sheetName val="䴝괄내역서"/>
      <sheetName val="Nೃ拏-職"/>
      <sheetName val="㏄급표지_"/>
      <sheetName val="부㌀표지_(4)"/>
      <sheetName val="부㌀표지_(3)"/>
      <sheetName val="㶀대표지_(2)"/>
      <sheetName val="보㏄내역_(3)"/>
      <sheetName val="준Ⲁ_내역서"/>
      <sheetName val="⳵사비총ⴄ표"/>
      <sheetName val="1.䷨수장"/>
      <sheetName val="2000ㅄ하반기"/>
      <sheetName val=""/>
      <sheetName val="인ⱴ-측정"/>
      <sheetName val="4.뀴진설Ⳅ"/>
      <sheetName val="type-H"/>
      <sheetName val="4)䠠동표"/>
      <sheetName val="배ⴀ단가조사서"/>
      <sheetName val="䡼위대가(가설)"/>
      <sheetName val="䠑속도로1"/>
      <sheetName val="견䠁대비표"/>
      <sheetName val="교㌀(A1)"/>
      <sheetName val="부윬력정㦬"/>
      <sheetName val="전䰨선로 물량표"/>
      <sheetName val="COPINH"/>
      <sheetName val="공䠅별산출뀴역서"/>
      <sheetName val="䡼위(PN)"/>
      <sheetName val="전기일䠄대가"/>
      <sheetName val="전쉠환매도율"/>
      <sheetName val="䄤직윬-1"/>
      <sheetName val="현噩CODE"/>
      <sheetName val="䈘자䢬단위당"/>
      <sheetName val="일䠄대가(1)"/>
      <sheetName val="Ⰰ격조사서"/>
      <sheetName val="㶀대입찰 내역서"/>
      <sheetName val="자윬집계呜"/>
      <sheetName val="P_x0005_"/>
      <sheetName val="P嘐"/>
      <sheetName val="총괄집계 "/>
      <sheetName val="단면치수"/>
      <sheetName val="수문보고"/>
      <sheetName val="옹벽단면치수"/>
      <sheetName val="총체보활공정표"/>
      <sheetName val="검토현황"/>
      <sheetName val="증감내역"/>
      <sheetName val="기계 도급내역서"/>
      <sheetName val="철탑공사"/>
      <sheetName val="공량(전기)"/>
      <sheetName val="기초공"/>
      <sheetName val="DC"/>
      <sheetName val="청 구"/>
      <sheetName val="토지산출내역"/>
      <sheetName val="BQ(실행)"/>
      <sheetName val="산근(1)"/>
      <sheetName val="투찰추정"/>
      <sheetName val="교각토"/>
      <sheetName val="교각별철근수량집계표"/>
      <sheetName val="토  공"/>
      <sheetName val="장척총괄"/>
      <sheetName val="참고"/>
      <sheetName val="4월예정공정표"/>
      <sheetName val="15100"/>
      <sheetName val="산출근거#2-3"/>
      <sheetName val="수전기기DATA"/>
      <sheetName val=" "/>
      <sheetName val="외주현황.wq1"/>
      <sheetName val="EP0618"/>
      <sheetName val="일위대가1"/>
      <sheetName val="암거"/>
      <sheetName val="공정표_1"/>
      <sheetName val="1_설계기준1"/>
      <sheetName val="장비당단가_(1)1"/>
      <sheetName val="Sheet2_(2)1"/>
      <sheetName val="별표_1"/>
      <sheetName val="2_건축1"/>
      <sheetName val="수_량_명_세_서_-_11"/>
      <sheetName val="7.전산해석결과"/>
      <sheetName val="4.하중"/>
      <sheetName val="2.1"/>
      <sheetName val="T기성9605"/>
      <sheetName val="비교표"/>
      <sheetName val="맨홀되메우기"/>
      <sheetName val="당진1,2호기전선관설치및접지4차공사내역서-을지"/>
      <sheetName val="현금흐름표"/>
      <sheetName val="07제품별수익성"/>
      <sheetName val="출력X"/>
      <sheetName val="6동"/>
      <sheetName val="내역서 (2)"/>
      <sheetName val="차선"/>
      <sheetName val="차조서"/>
      <sheetName val="10.경제성분석"/>
      <sheetName val="상행-교대(A1-A2)"/>
      <sheetName val="옥외"/>
      <sheetName val="평균높이산출근거"/>
      <sheetName val="횡배수관위치조서"/>
      <sheetName val="48_x0005__x0000_"/>
      <sheetName val="工완성공사율"/>
      <sheetName val="strut type"/>
      <sheetName val="사  업  비  수  지  예  산  서"/>
      <sheetName val="도급내역"/>
      <sheetName val="중기사용료산출근거"/>
      <sheetName val="단가 및 재료비"/>
      <sheetName val="1차설계Ꮗԯ_x0000_"/>
      <sheetName val="1차설계逷≙_xdc00_≙"/>
      <sheetName val="시가지우회도로공내역서"/>
      <sheetName val="97 사업추정(WEKI)"/>
      <sheetName val="중기일위대밀"/>
      <sheetName val="-15.0"/>
      <sheetName val="01AC"/>
      <sheetName val="상세도"/>
      <sheetName val="암거(2)"/>
      <sheetName val="ETC"/>
      <sheetName val="포장공사"/>
      <sheetName val="다중모드"/>
      <sheetName val="Sheet10"/>
      <sheetName val="통합"/>
      <sheetName val="PĴ"/>
      <sheetName val="Pꮸ"/>
      <sheetName val="P估"/>
      <sheetName val="STEEL BOX 단면설계(SEC.8)"/>
      <sheetName val="기초단가"/>
      <sheetName val="입력데이타(비인쇄용)"/>
      <sheetName val="외주대비 -석축_x0000__x0000__x0000__x0000__x0000__x0012_[후다내역.XLS]견적표지 (3"/>
      <sheetName val="2.2 띠장의 설계"/>
      <sheetName val="자  재"/>
      <sheetName val="건축외주"/>
      <sheetName val="개인별 순위표"/>
      <sheetName val="CM 1"/>
      <sheetName val="ROOF(ALKALI)"/>
      <sheetName val="세골재  T2 변경 현황"/>
      <sheetName val="6_ 안전관리비"/>
      <sheetName val="MODELING"/>
      <sheetName val="환산"/>
      <sheetName val="기술부 VENDOR LIST"/>
      <sheetName val="분전반"/>
      <sheetName val="특별"/>
      <sheetName val="호표"/>
      <sheetName val="4.2.1 마루높이 검토"/>
      <sheetName val="임율산출표"/>
      <sheetName val="청주(철골발주의뢰서)"/>
      <sheetName val="자료"/>
      <sheetName val="원가(칠곡다부)"/>
      <sheetName val="다부IC내역"/>
      <sheetName val="원가(재방송)"/>
      <sheetName val="재방송"/>
      <sheetName val="다부내역"/>
      <sheetName val="읍내터널"/>
      <sheetName val="칠곡IC내역"/>
      <sheetName val="내역집계표"/>
      <sheetName val="내역서 (3)"/>
      <sheetName val="대가"/>
      <sheetName val="산출양식"/>
      <sheetName val="대가목록"/>
      <sheetName val="산출양식 (2)"/>
      <sheetName val="토목원가계산서"/>
      <sheetName val="토목원가"/>
      <sheetName val="집계장"/>
      <sheetName val="제외공종"/>
      <sheetName val="선급금사용계획서"/>
      <sheetName val="사용세부내역"/>
      <sheetName val="공사비증감대비표"/>
      <sheetName val="전체산출내역서갑(변경) "/>
      <sheetName val="산출내역서을(변경)"/>
      <sheetName val="전체세부(이설도로)"/>
      <sheetName val="전체세부(연결도로)"/>
      <sheetName val="전체원가계산서(변경)"/>
      <sheetName val="용역비"/>
      <sheetName val="취·현"/>
      <sheetName val="취·투"/>
      <sheetName val="토·집"/>
      <sheetName val="배·집"/>
      <sheetName val="기·집30(보고)"/>
      <sheetName val="기·집30(확정)"/>
      <sheetName val="기·내30(확정)"/>
      <sheetName val="A.터파기공"/>
      <sheetName val="B.측·집"/>
      <sheetName val="배(자·집) (2)"/>
      <sheetName val="배(철·집)"/>
      <sheetName val="배(암·유)"/>
      <sheetName val="배(시·골)"/>
      <sheetName val="2.01측·터·집"/>
      <sheetName val="V·집"/>
      <sheetName val="V·현"/>
      <sheetName val="산·집"/>
      <sheetName val="산·현"/>
      <sheetName val="L·집"/>
      <sheetName val="L·현"/>
      <sheetName val="맹·집"/>
      <sheetName val="맹·현"/>
      <sheetName val="C배·집"/>
      <sheetName val="횡·집"/>
      <sheetName val="흄·집"/>
      <sheetName val="횡·조"/>
      <sheetName val="종·배"/>
      <sheetName val="종·조"/>
      <sheetName val="배·면"/>
      <sheetName val="배·날"/>
      <sheetName val="횡·날"/>
      <sheetName val="콘집·수"/>
      <sheetName val="흙쌓·수"/>
      <sheetName val="땅깍·수"/>
      <sheetName val="땅깍·수 (1-1)"/>
      <sheetName val="집·조10"/>
      <sheetName val="집·조6"/>
      <sheetName val="비·보"/>
      <sheetName val="집·조8"/>
      <sheetName val="암·재"/>
      <sheetName val="암·토"/>
      <sheetName val="암·철"/>
      <sheetName val="본·수"/>
      <sheetName val="2+126"/>
      <sheetName val="평날·수"/>
      <sheetName val="0-52 "/>
      <sheetName val="콘·다 (2)"/>
      <sheetName val="기·집 (2)"/>
      <sheetName val="콘·다 (3)"/>
      <sheetName val="콘·현"/>
      <sheetName val="소·집"/>
      <sheetName val="소·현"/>
      <sheetName val="집·거"/>
      <sheetName val="집·연"/>
      <sheetName val="도·집"/>
      <sheetName val="성도1"/>
      <sheetName val="가드레일산근"/>
      <sheetName val="수량"/>
      <sheetName val="단가비교"/>
      <sheetName val="적용2002"/>
      <sheetName val="기초병원총괄표"/>
      <sheetName val="기초병원원가"/>
      <sheetName val="기초병원내역집계표"/>
      <sheetName val="기초(토목)"/>
      <sheetName val="기초(건축)"/>
      <sheetName val="기초(기계)"/>
      <sheetName val="기초(전기)"/>
      <sheetName val="기초(통신)"/>
      <sheetName val="감액총괄(계약적용)"/>
      <sheetName val="감액원가계산(계약적용)"/>
      <sheetName val="삭감내역집계표"/>
      <sheetName val="건축,토목감액(계약적용)"/>
      <sheetName val="기계,전기감액"/>
      <sheetName val="내역비교"/>
      <sheetName val="병원내역집계표 (2)"/>
      <sheetName val="설계기계"/>
      <sheetName val="설계통신"/>
      <sheetName val="설계전기"/>
      <sheetName val="설계기준삭감(기,전)"/>
      <sheetName val="설계내역집계표"/>
      <sheetName val="실행총괄 "/>
      <sheetName val="본체"/>
      <sheetName val="[IL-3.XLSY갑지"/>
      <sheetName val="설비내역서"/>
      <sheetName val="CON'C"/>
      <sheetName val="도급내역서(재노경)"/>
      <sheetName val="4.일위대가목차"/>
      <sheetName val="기계경비(시간당)"/>
      <sheetName val="내역_ver1.0"/>
      <sheetName val="2000,9월 일위"/>
      <sheetName val="단가일람표"/>
      <sheetName val="IL-3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차수공개요"/>
      <sheetName val="설계산출기초"/>
      <sheetName val="도급예산내역서봉투"/>
      <sheetName val="설계산출표지"/>
      <sheetName val="도급예산내역서총괄표"/>
      <sheetName val="을부담운반비"/>
      <sheetName val="운반비산출"/>
      <sheetName val="매출현황"/>
      <sheetName val="보온일위"/>
      <sheetName val="49수량"/>
      <sheetName val="단가비교표(노무)"/>
      <sheetName val="수목표준대가"/>
      <sheetName val="변경품셈총괄"/>
      <sheetName val="고창터널(고창방향)"/>
      <sheetName val="변압기 및 발전기 용량"/>
      <sheetName val="냉천부속동"/>
      <sheetName val="공종단가"/>
      <sheetName val="조도계산서 (도서)"/>
      <sheetName val="암거단위"/>
      <sheetName val="보증수수료산출"/>
      <sheetName val="DAN"/>
      <sheetName val="백호우계수"/>
      <sheetName val="대포2교접속"/>
      <sheetName val="천방교접속"/>
      <sheetName val="실행예산서"/>
      <sheetName val="일반전기(2단지-을지)"/>
      <sheetName val="토목공사"/>
      <sheetName val="일위대가(4층원격)"/>
      <sheetName val="BM"/>
      <sheetName val="찍기"/>
      <sheetName val="의왕내역"/>
      <sheetName val="단가대비"/>
      <sheetName val="총괄집계표"/>
      <sheetName val="인수공규격"/>
      <sheetName val="단가(1)"/>
      <sheetName val="적용단위길이"/>
      <sheetName val="일위대가(건축)"/>
      <sheetName val="빌딩 안내"/>
      <sheetName val="기계공사비집계(원안)"/>
      <sheetName val="48단가"/>
      <sheetName val="CABLE"/>
      <sheetName val="CABLE (2)"/>
      <sheetName val="접지수량"/>
      <sheetName val="G.R300경비"/>
      <sheetName val="교수설계"/>
      <sheetName val="공종구간"/>
      <sheetName val="조경일람"/>
      <sheetName val="49단가"/>
      <sheetName val="구간산출"/>
      <sheetName val="노임단가산출근거"/>
      <sheetName val="COST"/>
      <sheetName val="항목등록"/>
      <sheetName val="원가계산서(남측)"/>
      <sheetName val="신고분기설정참고"/>
      <sheetName val="거래처자료등록"/>
      <sheetName val="조도계산"/>
      <sheetName val="국내조달(통합-1)"/>
      <sheetName val="상시"/>
      <sheetName val="주beam"/>
      <sheetName val="9811"/>
      <sheetName val="출력용"/>
      <sheetName val="단가대비표 (3)"/>
      <sheetName val="하부철근수량"/>
      <sheetName val="연결관산출조서"/>
      <sheetName val="내역서적용수량"/>
      <sheetName val="계획집계"/>
      <sheetName val="기계물량"/>
      <sheetName val="비탈면보호공수량산출"/>
      <sheetName val="준공검사원(갑)"/>
      <sheetName val="기성내역서(을) (2)"/>
      <sheetName val="영신토건물가변동"/>
      <sheetName val="변수값"/>
      <sheetName val="중기상차"/>
      <sheetName val="AS복구"/>
      <sheetName val="중기터파기"/>
      <sheetName val="1단계 (2)"/>
      <sheetName val="L_RPTA05_목록"/>
      <sheetName val="동원인원"/>
      <sheetName val="2.1  노무비 평균단가산출"/>
      <sheetName val="예산명세서"/>
      <sheetName val="입상내역"/>
      <sheetName val="단가일람"/>
      <sheetName val="3.공사비(07년노임단가)"/>
      <sheetName val="3.공사비(단가조사표)"/>
      <sheetName val="3.공사비(물량산출표)"/>
      <sheetName val="3.공사비(일위대가표목록)"/>
      <sheetName val="3.공사비(일위대가표)"/>
      <sheetName val="견"/>
      <sheetName val="#3_일위대가목록"/>
      <sheetName val="Macro(차단기)"/>
      <sheetName val="띘랷랷랷"/>
      <sheetName val="TRE TABLE"/>
      <sheetName val="Requirement(Work Crew)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대전-교대(A1-A2)"/>
      <sheetName val="7단가"/>
      <sheetName val="9509"/>
      <sheetName val="총공사원가"/>
      <sheetName val="건축공사원가"/>
      <sheetName val="설비공사원가"/>
      <sheetName val="배관공사기초자료"/>
      <sheetName val="Ekog10"/>
      <sheetName val="AL공사(원)"/>
      <sheetName val="내역서1"/>
      <sheetName val="22수량"/>
      <sheetName val="품목현황"/>
      <sheetName val="출고대장"/>
      <sheetName val="입력DATA"/>
      <sheetName val="asd"/>
      <sheetName val="★도급내역"/>
      <sheetName val="back-data"/>
      <sheetName val="인월수표"/>
      <sheetName val="분전함신설"/>
      <sheetName val="접지1종"/>
      <sheetName val="진입도로B (2)"/>
      <sheetName val="백암비스타내역"/>
      <sheetName val="2.냉난방설비공사"/>
      <sheetName val="7.자동제어공사"/>
      <sheetName val="중강당 내역"/>
      <sheetName val="제-노임"/>
      <sheetName val="AV시스템"/>
      <sheetName val="전체분2회변경"/>
      <sheetName val="산출근거(복구)"/>
      <sheetName val="영창26"/>
      <sheetName val="웅진교-S2"/>
      <sheetName val="횡배수관집현황(2공구)"/>
      <sheetName val="남양주부대"/>
      <sheetName val="기초자료입력및 K치 확인"/>
      <sheetName val="ES조서출력하기"/>
      <sheetName val="등록자료"/>
      <sheetName val="역T형교대(PILE기초)"/>
      <sheetName val="실행내역 "/>
      <sheetName val="수원역(전체분)설계서"/>
      <sheetName val="자재 단가 비교표(견적)"/>
      <sheetName val="자재 단가 비교표"/>
      <sheetName val="BDATA"/>
      <sheetName val="지하"/>
      <sheetName val="건설기계목록"/>
      <sheetName val="일위대가_목록"/>
      <sheetName val="재료단가"/>
      <sheetName val="시중노임"/>
      <sheetName val="지불내역1"/>
      <sheetName val="지질조사"/>
      <sheetName val="암거단위-1련"/>
      <sheetName val="의뢰내역서"/>
      <sheetName val="준공내역서표지"/>
      <sheetName val="䂰출양식"/>
      <sheetName val="국별인원"/>
      <sheetName val="Bid Summary"/>
      <sheetName val="이동시 예상비용"/>
      <sheetName val="Seg 1DE비용"/>
      <sheetName val="Transit 비용_감가상각미포함"/>
      <sheetName val="맨홀조서"/>
      <sheetName val="단가조사서"/>
      <sheetName val="Factor"/>
      <sheetName val="48수량"/>
      <sheetName val="단가비교표_공통1"/>
      <sheetName val="내역(원안-대안)"/>
      <sheetName val="산출목록표"/>
      <sheetName val="전화공사 공량 및 집계표"/>
      <sheetName val="공사착공계"/>
      <sheetName val="참조 (2)"/>
      <sheetName val="6. 직접경비"/>
      <sheetName val="이토변실(A3-LINE)"/>
      <sheetName val="조경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MAIN"/>
      <sheetName val="부표총괄"/>
      <sheetName val="일대목차"/>
      <sheetName val="단가(보완)"/>
      <sheetName val="대가 (보완)"/>
      <sheetName val="단위목록"/>
      <sheetName val="기계경비목록"/>
      <sheetName val="3.자재비(총괄)"/>
      <sheetName val="제출내역"/>
      <sheetName val="철콘공사"/>
      <sheetName val="내역서_(3)"/>
      <sheetName val="산출양식_(2)"/>
      <sheetName val="전체산출내역서갑(변경)_"/>
      <sheetName val="A_터파기공"/>
      <sheetName val="B_측·집"/>
      <sheetName val="배(자·집)_(2)"/>
      <sheetName val="2_01측·터·집"/>
      <sheetName val="땅깍·수_(1-1)"/>
      <sheetName val="0-52_"/>
      <sheetName val="콘·다_(2)"/>
      <sheetName val="기·집_(2)"/>
      <sheetName val="콘·다_(3)"/>
      <sheetName val="병원내역집계표_(2)"/>
      <sheetName val="실행총괄_"/>
      <sheetName val="[IL-3_XLSY갑지"/>
      <sheetName val="품목납기"/>
      <sheetName val="단가기준"/>
      <sheetName val="횡배수관수량집계"/>
      <sheetName val="우,오수"/>
      <sheetName val="유의사항"/>
      <sheetName val="현장설명"/>
      <sheetName val="특별조건"/>
      <sheetName val="토공갑"/>
      <sheetName val="구조물갑"/>
      <sheetName val="투찰계획서"/>
      <sheetName val="99총공사내역서"/>
      <sheetName val="평야부단가"/>
      <sheetName val="오동"/>
      <sheetName val="대조"/>
      <sheetName val="나한"/>
      <sheetName val="단가대비표(계측)"/>
      <sheetName val="공정외주"/>
      <sheetName val="제조 경영"/>
      <sheetName val="36단가"/>
      <sheetName val="36수량"/>
      <sheetName val="메인거더-크로스빔200연결부"/>
      <sheetName val="기본자료"/>
      <sheetName val="설계서을"/>
      <sheetName val="EQ-R1"/>
      <sheetName val="L-type"/>
      <sheetName val="bearing"/>
      <sheetName val="조내역"/>
      <sheetName val="C지구"/>
      <sheetName val="사내도로"/>
      <sheetName val="4.전기"/>
      <sheetName val="노 무 비"/>
      <sheetName val="노임단가표"/>
      <sheetName val="결선list"/>
      <sheetName val="위치도1"/>
      <sheetName val="자재단가-1"/>
      <sheetName val="도급정산"/>
      <sheetName val="제출내역_(2)"/>
      <sheetName val="4_일위대가목차"/>
      <sheetName val="내역_ver1_0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2000,9월_일위"/>
      <sheetName val="제잡비집계"/>
      <sheetName val="간접1"/>
      <sheetName val="내역서(토목)"/>
      <sheetName val="미납품 현황"/>
      <sheetName val="신설개소별 총집계표(동해-배전)"/>
      <sheetName val="SSMITM"/>
      <sheetName val="B"/>
      <sheetName val="수량산출목록표"/>
      <sheetName val="횡배위치"/>
      <sheetName val="Print"/>
      <sheetName val="MATRLDATA"/>
      <sheetName val="관로분포도"/>
      <sheetName val="일위대가목록(기계)"/>
      <sheetName val="옥외배관기본공량"/>
      <sheetName val="대비2"/>
      <sheetName val="옥외외등집계표"/>
      <sheetName val="유림총괄"/>
      <sheetName val="예산변경원인분석"/>
      <sheetName val="GEN"/>
      <sheetName val="총체"/>
      <sheetName val="실행내역_원본"/>
      <sheetName val="가설건물"/>
      <sheetName val="WING3"/>
      <sheetName val="시설,관리하위"/>
      <sheetName val="대운반(철재)"/>
      <sheetName val="테이블"/>
      <sheetName val="일일현황"/>
      <sheetName val="년차"/>
      <sheetName val="일집"/>
      <sheetName val="cctv예산대비"/>
      <sheetName val="라이닝폼예산대비내역"/>
      <sheetName val="BOX 본체"/>
      <sheetName val="단가삐출"/>
      <sheetName val="시운전연료비"/>
      <sheetName val="지원사무소원가배부내역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주소"/>
      <sheetName val="일위1"/>
      <sheetName val="자재운반단가일람표"/>
      <sheetName val="기계경비목록1"/>
      <sheetName val="흄관수량"/>
      <sheetName val="PROCURE"/>
      <sheetName val="중기사용료"/>
      <sheetName val="우수공,맨홀,집수정"/>
      <sheetName val="MP MOB"/>
      <sheetName val="방음벽기초"/>
      <sheetName val="요약서"/>
      <sheetName val="경성자금"/>
      <sheetName val="문학간접"/>
      <sheetName val="제경비율"/>
      <sheetName val="PAINT"/>
      <sheetName val="미드수량"/>
      <sheetName val="철거폐쇄현황"/>
      <sheetName val="quotation"/>
      <sheetName val="2004노형교"/>
      <sheetName val="TCDB"/>
      <sheetName val="내역서(총)"/>
      <sheetName val="단지배치도"/>
      <sheetName val="입찰유의사항"/>
      <sheetName val="하도급이행사항"/>
      <sheetName val="공내역 및 견적조건"/>
      <sheetName val="특수조건"/>
      <sheetName val="참석확인"/>
      <sheetName val="용수간선"/>
      <sheetName val="가격"/>
      <sheetName val="기초단가일람표"/>
      <sheetName val="기본정보"/>
      <sheetName val="kimre scrubber"/>
      <sheetName val="7월11일"/>
      <sheetName val="죽원1교"/>
      <sheetName val="항목코드"/>
      <sheetName val="배관물량집계(기본)"/>
      <sheetName val="일반물자(한국통신)"/>
      <sheetName val="108.수선비"/>
      <sheetName val="맨홀_공사비"/>
      <sheetName val="예산대비"/>
      <sheetName val="hvac(제어동)"/>
      <sheetName val="기성금내역서"/>
      <sheetName val=" ｹ-ﾌﾞﾙ"/>
      <sheetName val="미장"/>
      <sheetName val="도급내역서"/>
      <sheetName val="관리비비계상"/>
      <sheetName val="MIJIBI"/>
      <sheetName val="SCH"/>
      <sheetName val="사다리"/>
      <sheetName val="SPEC"/>
      <sheetName val="일위목차"/>
      <sheetName val="1월"/>
      <sheetName val="세부항목"/>
      <sheetName val="출력자료"/>
      <sheetName val="Balance"/>
      <sheetName val="제안실적sum조회"/>
      <sheetName val="FRP PIPING 일위대가"/>
      <sheetName val="품목"/>
      <sheetName val="전기2005"/>
      <sheetName val="일위대가 (PM)"/>
      <sheetName val="1-1.현장정리"/>
      <sheetName val="1-2.토공"/>
      <sheetName val="1-3.WMM,GSB"/>
      <sheetName val="1-4.BITUMINOUS COURSE"/>
      <sheetName val="1-5.BOX CULVERTS"/>
      <sheetName val="1-6.BRIDGE"/>
      <sheetName val="1-7.DRAINAGE"/>
      <sheetName val="1-8.TRAFFIC"/>
      <sheetName val="1-9.MISCELLANEOUS"/>
      <sheetName val="1-10.ELECTRICAL"/>
      <sheetName val="1-12.도급외항목"/>
      <sheetName val="하도내역_(철콘)1"/>
      <sheetName val="조건표_(2)1"/>
      <sheetName val="목차_1"/>
      <sheetName val="7__현장관리비_1"/>
      <sheetName val="노무비_근거1"/>
      <sheetName val="임율_Data1"/>
      <sheetName val="4_LINE"/>
      <sheetName val="7_th"/>
      <sheetName val="_갑지"/>
      <sheetName val="A_LINE"/>
      <sheetName val="5__현장관리비_new__"/>
      <sheetName val="Temporary_Mooring"/>
      <sheetName val="총_원가계산"/>
      <sheetName val="목록"/>
      <sheetName val="계정"/>
      <sheetName val="메서,변+증"/>
      <sheetName val="명일작업계획 (3)"/>
      <sheetName val="연결원본-절대지우지말것"/>
      <sheetName val="검색방"/>
      <sheetName val="일위대가집계표"/>
      <sheetName val="산출서집계HS"/>
      <sheetName val="자동세륜기"/>
      <sheetName val="잔수량(작성)"/>
      <sheetName val="공종보합"/>
      <sheetName val="출력원가"/>
      <sheetName val="공종원가"/>
      <sheetName val="총괄원가"/>
      <sheetName val="아파트"/>
      <sheetName val="상가,복지관"/>
      <sheetName val="주차장"/>
      <sheetName val="경비실"/>
      <sheetName val="목록표"/>
      <sheetName val="임차비용"/>
      <sheetName val="앵커(3안)"/>
      <sheetName val="용선 C.L"/>
      <sheetName val="전 체"/>
      <sheetName val="4동급수"/>
      <sheetName val="토목단가산출"/>
      <sheetName val="표지_(3)2"/>
      <sheetName val="표지_(2)2"/>
      <sheetName val="교각집계_(2)2"/>
      <sheetName val="교각토공_(2)2"/>
      <sheetName val="교각철근_(2)2"/>
      <sheetName val="외주대비_-석축2"/>
      <sheetName val="외주대비-구조물_(2)2"/>
      <sheetName val="견적표지_(3)2"/>
      <sheetName val="_HIT-&gt;HMC_견적(3900)2"/>
      <sheetName val="일__위__대__가__목__록2"/>
      <sheetName val="교각토공__2_2"/>
      <sheetName val="3_공통공사대비2"/>
      <sheetName val="6__안전관리비2"/>
      <sheetName val="HRSG_SMALL072202"/>
      <sheetName val="2차전체변경예정_(2)1"/>
      <sheetName val="토공유동표(전체_당초)1"/>
      <sheetName val="단면_(2)1"/>
      <sheetName val="8_현장관리비1"/>
      <sheetName val="7_안전관리비1"/>
      <sheetName val="8_PILE__(돌출)1"/>
      <sheetName val="b_balju_(2)1"/>
      <sheetName val="중기조종사_단위단가1"/>
      <sheetName val="2_2_오피스텔(12~32F)"/>
      <sheetName val="일위대가_집계표"/>
      <sheetName val="9_1지하2층하부보"/>
      <sheetName val="단계별내역_(2)"/>
      <sheetName val="2_2_띠장의_설계"/>
      <sheetName val="6__안전관리비3"/>
      <sheetName val="자__재"/>
      <sheetName val="개인별_순위표"/>
      <sheetName val="CM_1"/>
      <sheetName val="기술부_VENDOR_LIST"/>
      <sheetName val="외주대비_-석축[후다내역_XLS]견적표지_(3"/>
      <sheetName val="4_일위대가"/>
      <sheetName val="품셈기준"/>
      <sheetName val="설치자재"/>
      <sheetName val="성토도수로현황"/>
      <sheetName val="Chart1"/>
      <sheetName val="조건입력"/>
      <sheetName val="자립흙막이"/>
      <sheetName val="흙막이A"/>
      <sheetName val="흙막이B"/>
      <sheetName val="흙막이B (오산운암)"/>
      <sheetName val="흙막이C"/>
      <sheetName val="타이로드 흙막이"/>
      <sheetName val="타이로드 흙막이(근입장2.5M)"/>
      <sheetName val="어스앙카"/>
      <sheetName val="타이로드"/>
      <sheetName val="타이로드(근입장2.5M)"/>
      <sheetName val="pile 항타"/>
      <sheetName val="pile 항타(디젤)"/>
      <sheetName val="pile 항타 A"/>
      <sheetName val="pile 항타 B"/>
      <sheetName val="pile 항타 C"/>
      <sheetName val="pile 인발"/>
      <sheetName val="pile 인발 A"/>
      <sheetName val="pile 인발 B"/>
      <sheetName val="pile 인발 C"/>
      <sheetName val="토류판"/>
      <sheetName val="H-BEAM설치및철거"/>
      <sheetName val="BRACKET"/>
      <sheetName val="20TON TRAILER"/>
      <sheetName val="토류판 (2)"/>
      <sheetName val="SHEET PILE단가"/>
      <sheetName val="공사기간"/>
      <sheetName val="사업개요"/>
      <sheetName val="현장관리비_입력"/>
      <sheetName val="6.이토처리시간"/>
      <sheetName val="실행(1)"/>
      <sheetName val="공사비집계"/>
      <sheetName val="일일총괄"/>
      <sheetName val="인제내역"/>
      <sheetName val="환율"/>
      <sheetName val="회사정보"/>
      <sheetName val="참조자료"/>
      <sheetName val="단위중기"/>
      <sheetName val="수량명세서"/>
      <sheetName val="경비공통"/>
      <sheetName val="Macro3"/>
      <sheetName val="신평리 권리자명부"/>
      <sheetName val="ESC(K치)"/>
      <sheetName val="CAPVC"/>
      <sheetName val="콘센트신설"/>
      <sheetName val="내역(가지)"/>
      <sheetName val="품종코드"/>
      <sheetName val="전체공사"/>
      <sheetName val="태안9)3-2)원내역"/>
      <sheetName val="납부서"/>
      <sheetName val="Basic"/>
      <sheetName val="info"/>
      <sheetName val="금액"/>
      <sheetName val="위치"/>
      <sheetName val="자재비"/>
      <sheetName val="맨홀"/>
      <sheetName val="JJ"/>
      <sheetName val="VOC"/>
      <sheetName val="L형옹벽(key)"/>
      <sheetName val="POOM_MOTO"/>
      <sheetName val="POOM_MOTO2"/>
      <sheetName val="JUCK"/>
      <sheetName val="일반수량집계표"/>
      <sheetName val="대동교-단면(무장)"/>
      <sheetName val="라멘수량(무장)"/>
      <sheetName val="대동교-단면(아산)"/>
      <sheetName val="토공집계표"/>
      <sheetName val="토공시점"/>
      <sheetName val="토공종점"/>
      <sheetName val="신규단가산출"/>
      <sheetName val="태화42 "/>
      <sheetName val="수완하도"/>
      <sheetName val="김포내역"/>
      <sheetName val="인적사항"/>
      <sheetName val="흄관기鬀"/>
      <sheetName val="날개벽(좌,우=45도,75도)"/>
      <sheetName val="TYPE-1"/>
      <sheetName val="라이신_NML"/>
      <sheetName val="PRO_DCI"/>
      <sheetName val="INST_DCI"/>
      <sheetName val="HVAC_DCI"/>
      <sheetName val="PIPE_DCI"/>
      <sheetName val="①idea pipeline"/>
      <sheetName val="Comps"/>
      <sheetName val="교육훈련비6"/>
      <sheetName val="ver2"/>
      <sheetName val="IMP 통일양식"/>
      <sheetName val="LYS 통일양식"/>
      <sheetName val="TB(BS)"/>
      <sheetName val="TB(PL)"/>
      <sheetName val="patch"/>
      <sheetName val="Xunit (단위환산)"/>
      <sheetName val="유통기한 프로그램"/>
      <sheetName val="배부전"/>
      <sheetName val="220 (2)"/>
      <sheetName val="제수"/>
      <sheetName val="공기"/>
      <sheetName val="조ꟕ"/>
      <sheetName val="공사명입력"/>
      <sheetName val="수량-가로등"/>
      <sheetName val="내역서-2"/>
      <sheetName val="물량표S"/>
      <sheetName val="수량산근(출력X)"/>
      <sheetName val="표준화수량집계표(출력X)"/>
      <sheetName val="품셈총괄(출력X)"/>
      <sheetName val="중기산출근거기초"/>
      <sheetName val="준설량산정표"/>
      <sheetName val="기초자료입력"/>
      <sheetName val="배수내역(총수량)"/>
      <sheetName val="3.관로전환기"/>
      <sheetName val="EQ"/>
      <sheetName val="1공구_건정토건_철槜〚"/>
      <sheetName val="FILE1"/>
      <sheetName val="배수喘_x001a_"/>
      <sheetName val="인상효1"/>
      <sheetName val="1И"/>
      <sheetName val="F 월별기성수금현황 "/>
      <sheetName val="할증표"/>
      <sheetName val="NOM³_x0000_Ԁ"/>
      <sheetName val="NOMֳ_x0000_缀"/>
      <sheetName val="통계연보"/>
      <sheetName val="외주대비-구_x0005__x0000_"/>
      <sheetName val="외주대비-구멫⽄"/>
      <sheetName val="외주대비-구ꮸ〇"/>
      <sheetName val="외주대비-구_x0000__x0000_"/>
      <sheetName val="토목단가"/>
      <sheetName val="흄관기_x0000_"/>
      <sheetName val="흄관기0"/>
      <sheetName val="기초부재력검토"/>
      <sheetName val="편입토지조서"/>
      <sheetName val="하도계약반영"/>
      <sheetName val="비목군분류일위"/>
      <sheetName val="치수표"/>
      <sheetName val="매인"/>
      <sheetName val="-배수구조총재료"/>
      <sheetName val="인원조직표"/>
      <sheetName val="연장및면적(좌측)"/>
      <sheetName val="부대표지_x0000__x0000__x0005__x0000_䥀"/>
      <sheetName val="행정표준(2惍"/>
      <sheetName val="행정표준(2ネ"/>
      <sheetName val="1鶈"/>
      <sheetName val="식생블럭단위수량"/>
      <sheetName val="교량"/>
      <sheetName val="물량표(신)"/>
      <sheetName val="일위대가(산근)"/>
      <sheetName val="단위수량DATA"/>
      <sheetName val="맨홀수량산출(A-LINE)"/>
      <sheetName val="울진항공등화 내역서"/>
      <sheetName val="일 위 대 가 표"/>
      <sheetName val="내역(설계)"/>
      <sheetName val="영흥TL(UP,DOWN) "/>
      <sheetName val="3련 BOX"/>
      <sheetName val="내역서 "/>
      <sheetName val="물량집계표(1c)"/>
      <sheetName val="감가상각"/>
      <sheetName val="채권(하반기)"/>
      <sheetName val="연차일수"/>
      <sheetName val="2004연차사용현황"/>
      <sheetName val="TEMP2"/>
      <sheetName val="BS"/>
      <sheetName val="PL"/>
      <sheetName val="도수로집계"/>
      <sheetName val="22인공"/>
      <sheetName val="1-1"/>
      <sheetName val="원하대비"/>
      <sheetName val="공통단가"/>
      <sheetName val="2.1외주"/>
      <sheetName val="2.3노무"/>
      <sheetName val="2.4자재"/>
      <sheetName val="2.2장비"/>
      <sheetName val="2.5경비"/>
      <sheetName val="2.6수목대"/>
      <sheetName val="OPTION"/>
      <sheetName val="실행간접비"/>
      <sheetName val="일위집계"/>
      <sheetName val="결재란"/>
      <sheetName val="소요갑지"/>
      <sheetName val="소요을지"/>
      <sheetName val="접지집계"/>
      <sheetName val="접지지하1층"/>
      <sheetName val="접지지상1층"/>
      <sheetName val="모선자재 집계표"/>
      <sheetName val="케이블집계"/>
      <sheetName val="케이블포설"/>
      <sheetName val="철구물집"/>
      <sheetName val="철구물량"/>
      <sheetName val="기초물량"/>
      <sheetName val="재료의 할증"/>
      <sheetName val="Sheet7"/>
      <sheetName val="Sheet8"/>
      <sheetName val="Sheet11"/>
      <sheetName val="Sheet12"/>
      <sheetName val="Sheet15"/>
      <sheetName val="노무비단가"/>
      <sheetName val="감곡소요"/>
      <sheetName val="C䈀꼬ԯ"/>
      <sheetName val="연돌일위집계"/>
      <sheetName val="0226"/>
      <sheetName val="울산"/>
      <sheetName val="Anti"/>
      <sheetName val="CԀ_x0000_缀"/>
      <sheetName val="아파트건축"/>
      <sheetName val="GRD郅≙"/>
      <sheetName val="고창방향"/>
      <sheetName val="가로등기초"/>
      <sheetName val="eq_dat_x0000_"/>
      <sheetName val="선급금신청서"/>
      <sheetName val="A1(구조물)"/>
      <sheetName val="A1(토공)"/>
      <sheetName val="철근집계표"/>
      <sheetName val="95년12월말"/>
      <sheetName val="단가산출1"/>
      <sheetName val="신천3호용수로"/>
      <sheetName val="인입관수량총괄"/>
      <sheetName val="D1.2 COF모듈자재 입출재고 (B급)"/>
      <sheetName val="견적颙⿬_x0005_"/>
      <sheetName val="견적颙⿶_x0005_"/>
      <sheetName val="견적_x0005__x0000_"/>
      <sheetName val="견적叐E吜"/>
      <sheetName val="견적颙』_x0005_"/>
      <sheetName val="EACT10"/>
      <sheetName val="3.전기산출기초"/>
      <sheetName val="Proposal"/>
      <sheetName val="토공정보"/>
      <sheetName val="대창(장성)"/>
      <sheetName val="월별수입"/>
      <sheetName val="건축공사실행"/>
      <sheetName val="건축원가"/>
      <sheetName val="1차 내역서"/>
      <sheetName val="물량내역서"/>
      <sheetName val="부영주택(잡철물)"/>
      <sheetName val="업무처리전"/>
      <sheetName val="기계사급자재"/>
      <sheetName val="BEND LOSS"/>
      <sheetName val="배명(단가柖"/>
      <sheetName val="tra-vat-lieu"/>
      <sheetName val="내역서1999.8최종"/>
      <sheetName val="부대표지_x0000__x0000__x0005__x0000_腰"/>
      <sheetName val="VENT"/>
      <sheetName val="준검_내逃ᚹ欃"/>
      <sheetName val="토공 total"/>
      <sheetName val="설계내역2"/>
      <sheetName val="함열량 db"/>
      <sheetName val="새공통"/>
      <sheetName val="99 조정금액"/>
      <sheetName val="3BL공동구_x0000__x0000_Ԁ"/>
      <sheetName val="HW일위"/>
      <sheetName val="3BL공동구"/>
      <sheetName val="단가(동바蔨ũ"/>
      <sheetName val="사리부설"/>
      <sheetName val="TRAY 헹거산출"/>
      <sheetName val="보강현황"/>
      <sheetName val="인부신상_x0000__x0000_"/>
      <sheetName val="변경집계표"/>
      <sheetName val="자판실행"/>
      <sheetName val="총괄표 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1-׃⼿"/>
      <sheetName val="1-닑⽋"/>
      <sheetName val="1-_x0005__x0000_"/>
      <sheetName val="설비비4"/>
      <sheetName val="䣐"/>
      <sheetName val="FANDBS"/>
      <sheetName val="GRDATA"/>
      <sheetName val="SHAFTDBSE"/>
      <sheetName val="간이연락"/>
      <sheetName val="고객사 관리 코드"/>
      <sheetName val="산출0"/>
      <sheetName val="중기쥰종사 단위단가"/>
      <sheetName val="1공구_건정토건_토공4"/>
      <sheetName val="1공구_건정토건_철콘4"/>
      <sheetName val="도급표지_4"/>
      <sheetName val="도급표지__(4)4"/>
      <sheetName val="부대표지_(4)4"/>
      <sheetName val="도급표지__(3)4"/>
      <sheetName val="부대표지_(3)4"/>
      <sheetName val="도급표지__(2)4"/>
      <sheetName val="부대표지_(2)4"/>
      <sheetName val="토__목4"/>
      <sheetName val="조__경4"/>
      <sheetName val="전_기4"/>
      <sheetName val="건__축4"/>
      <sheetName val="보도내역_(3)4"/>
      <sheetName val="준검_내역서4"/>
      <sheetName val="내역(최종본4_5)4"/>
      <sheetName val="1_수인터널4"/>
      <sheetName val="설_계4"/>
      <sheetName val="입출재고현황_(2)3"/>
      <sheetName val="6PILE__(돌출)4"/>
      <sheetName val="2_대외공문4"/>
      <sheetName val="AS포장복구_4"/>
      <sheetName val="0_0ControlSheet4"/>
      <sheetName val="0_1keyAssumption4"/>
      <sheetName val="4_내진설계3"/>
      <sheetName val="Sheet1_(2)3"/>
      <sheetName val="1_취수장3"/>
      <sheetName val="BSD_(2)3"/>
      <sheetName val="4_경비_5_영업외수지1"/>
      <sheetName val="_견적서1"/>
      <sheetName val="실행내역서_3"/>
      <sheetName val="96보완계획7_123"/>
      <sheetName val="전차선로_물량표3"/>
      <sheetName val="부대입찰_내역서3"/>
      <sheetName val="1__설계조건_2_단면가정_3__하중계산3"/>
      <sheetName val="DATA_입력란3"/>
      <sheetName val="3BL공동구_수량3"/>
      <sheetName val="제잡비_xls3"/>
      <sheetName val="인건비_3"/>
      <sheetName val="_총괄표3"/>
      <sheetName val="2_고용보험료산출근거3"/>
      <sheetName val="토공(우물통,기타)_3"/>
      <sheetName val="현장관리비_산출내역3"/>
      <sheetName val="현장별계약현황('98_10_31)3"/>
      <sheetName val="97년_추정3"/>
      <sheetName val="Eq__Mobilization3"/>
      <sheetName val="원가계산_(2)3"/>
      <sheetName val="1_설계조건3"/>
      <sheetName val="광통신_견적내역서11"/>
      <sheetName val="할증_1"/>
      <sheetName val="노원열병합__건축공사기성내역서3"/>
      <sheetName val="unit_41"/>
      <sheetName val="플랜트_설치3"/>
      <sheetName val="콤보박스와_리스트박스의_연결3"/>
      <sheetName val="설내역서_2"/>
      <sheetName val="프라임_강변역(4,236)1"/>
      <sheetName val="내___역1"/>
      <sheetName val="집_계_표1"/>
      <sheetName val="2000년_공정표1"/>
      <sheetName val="5_2코핑1"/>
      <sheetName val="배수공_시멘트_및_골재량_산출1"/>
      <sheetName val="7_PILE__(돌출)1"/>
      <sheetName val="P_M_별1"/>
      <sheetName val="CIP_공사2"/>
      <sheetName val="수량산출서_갑지1"/>
      <sheetName val="DATA_입력부1"/>
      <sheetName val="구조______1"/>
      <sheetName val="노무비_1"/>
      <sheetName val="화재_탐지_설비1"/>
      <sheetName val="Customer_Databas1"/>
      <sheetName val="4_일위대가집계1"/>
      <sheetName val="내역서_제출1"/>
      <sheetName val="5__현장관리비(new)_1"/>
      <sheetName val="방배동내역_(총괄)1"/>
      <sheetName val="간_지11"/>
      <sheetName val="2_교량(신설)1"/>
      <sheetName val="EQUIP_LIST1"/>
      <sheetName val="일위대가_(PM)"/>
      <sheetName val="2000_051"/>
      <sheetName val="원내역서_그대로"/>
      <sheetName val="1_3_1절점좌표1"/>
      <sheetName val="1_1설계기준1"/>
      <sheetName val="1_본부별1"/>
      <sheetName val="기초입력_DATA1"/>
      <sheetName val="재활용_악취_먼지DUCT산출1"/>
      <sheetName val="남양시작동자105노65기1_3화1_2"/>
      <sheetName val="관음목장(제출용)자105인97_5"/>
      <sheetName val="전체내역_(2)"/>
      <sheetName val="Hyundai_Unit_cost_xls"/>
      <sheetName val="TABLE_DB"/>
      <sheetName val="쌍용_data_base"/>
      <sheetName val="969910(_R)"/>
      <sheetName val="1062-X방향_"/>
      <sheetName val="5_정산서1"/>
      <sheetName val="PROJECT_BRIEF"/>
      <sheetName val="4_장비손료1"/>
      <sheetName val="단양_00_아파트-세부내역1"/>
      <sheetName val="설계기준_및_하중계산"/>
      <sheetName val="5호광장_(만점)1"/>
      <sheetName val="인천국제_(만점)_(2)1"/>
      <sheetName val="전선_및_전선관"/>
      <sheetName val="VENDOR_LIST"/>
      <sheetName val="Sight_n_M_H"/>
      <sheetName val="단가_"/>
      <sheetName val="매출요약(월별)_-년간"/>
      <sheetName val="Piping_Design_Data"/>
      <sheetName val="4_&amp;_10-inch,_CO2_Combo_&amp;_Sweep"/>
      <sheetName val="1_䷨수장"/>
      <sheetName val="4_뀴진설Ⳅ"/>
      <sheetName val="전䰨선로_물량표"/>
      <sheetName val="㶀대입찰_내역서"/>
      <sheetName val="수목데이타_"/>
      <sheetName val="경비_(1)"/>
      <sheetName val="2F_회의실견적(5_14_일대)"/>
      <sheetName val="108_수선비"/>
      <sheetName val="①idea_pipeline"/>
      <sheetName val="IMP_통일양식"/>
      <sheetName val="LYS_통일양식"/>
      <sheetName val="Xunit_(단위환산)"/>
      <sheetName val="유통기한_프로그램"/>
      <sheetName val="단가_및_재료비"/>
      <sheetName val="PTVT (MAU)"/>
      <sheetName val="기초목"/>
      <sheetName val="125x125"/>
      <sheetName val="TOSHIBA-Structure"/>
      <sheetName val="기존단가 (2)"/>
      <sheetName val="적용단가"/>
      <sheetName val="콘크리트포장"/>
      <sheetName val="암거난간벽집계(2)"/>
      <sheetName val="표  지"/>
      <sheetName val="설계예시"/>
      <sheetName val="양배수장"/>
      <sheetName val="맨홀토공"/>
      <sheetName val="전기일목(조사가)"/>
      <sheetName val="공사내역"/>
      <sheetName val="수목데이타"/>
      <sheetName val="본실행경비"/>
      <sheetName val="Sikje_inĴ¾_x0000_"/>
      <sheetName val="갑"/>
      <sheetName val="J"/>
      <sheetName val="설계카드"/>
      <sheetName val="공사설명서"/>
      <sheetName val="공사계획서"/>
      <sheetName val="예산조서"/>
      <sheetName val="주요재료비(원본)"/>
      <sheetName val="실행내역서(DCU)"/>
      <sheetName val="일위대가단가표"/>
      <sheetName val="GRD⍠も"/>
      <sheetName val="고암DATA"/>
      <sheetName val="일위대가(통신)"/>
      <sheetName val="보험료산출"/>
      <sheetName val="변경증감내역서"/>
      <sheetName val="자금총괄"/>
      <sheetName val="제잡비"/>
      <sheetName val="대가표(품셈)"/>
      <sheetName val="견적서갑지연속"/>
      <sheetName val="업체별기성"/>
      <sheetName val="토목-물가"/>
      <sheetName val="시약"/>
      <sheetName val="주공기준"/>
      <sheetName val="SAMPLE!"/>
      <sheetName val="FAB별"/>
      <sheetName val="사유서제출현황-2"/>
      <sheetName val="근로자명단2013"/>
      <sheetName val="Div26 - Elect"/>
      <sheetName val="SITE-E"/>
      <sheetName val="NOTE"/>
      <sheetName val="하도내역_(철콘)2"/>
      <sheetName val="조건표_(2)2"/>
      <sheetName val="목차_2"/>
      <sheetName val="7__현장관리비_2"/>
      <sheetName val="노무비_근거2"/>
      <sheetName val="임율_Data2"/>
      <sheetName val="1_설계기준2"/>
      <sheetName val="4_LINE1"/>
      <sheetName val="7_th1"/>
      <sheetName val="_갑지1"/>
      <sheetName val="A_LINE1"/>
      <sheetName val="5__현장관리비_new__1"/>
      <sheetName val="Temporary_Mooring1"/>
      <sheetName val="총_원가계산1"/>
      <sheetName val="중기쥰종사_단위단가"/>
      <sheetName val="1-1_현장정리"/>
      <sheetName val="1-2_토공"/>
      <sheetName val="1-3_WMM,GSB"/>
      <sheetName val="1-4_BITUMINOUS_COURSE"/>
      <sheetName val="1-5_BOX_CULVERTS"/>
      <sheetName val="1-6_BRIDGE"/>
      <sheetName val="1-7_DRAINAGE"/>
      <sheetName val="1-8_TRAFFIC"/>
      <sheetName val="1-9_MISCELLANEOUS"/>
      <sheetName val="1-10_ELECTRICAL"/>
      <sheetName val="1-12_도급외항목"/>
      <sheetName val="4_2_1_마루높이_검토"/>
      <sheetName val="BOX_본체"/>
      <sheetName val="STEEL_BOX_단면설계(SEC_8)"/>
      <sheetName val="6_이토처리시간"/>
      <sheetName val="울진항공등화_내역서"/>
      <sheetName val="영흥TL(UP,DOWN)_"/>
      <sheetName val="일_위_대_가_표"/>
      <sheetName val="PTVT_(MAU)"/>
      <sheetName val="1차_내역서"/>
      <sheetName val="MP_MOB"/>
      <sheetName val="Khoi luong"/>
      <sheetName val="LEGEND"/>
      <sheetName val="Bảng mã VT"/>
      <sheetName val="장비당단가_(1)2"/>
      <sheetName val="Sheet2_(2)2"/>
      <sheetName val="수_량_명_세_서_-_12"/>
      <sheetName val="별표_2"/>
      <sheetName val="2_건축2"/>
      <sheetName val="공정표_2"/>
      <sheetName val="kimre_scrubber"/>
      <sheetName val="내역서_(2)"/>
      <sheetName val="strut_type"/>
      <sheetName val="한성교회_신축공사(050713)_CheckList"/>
      <sheetName val="FRP_PIPING_일위대가"/>
      <sheetName val="48"/>
      <sheetName val="DonGia chetao"/>
      <sheetName val="DonGia VatTuLK"/>
      <sheetName val="인력터파기품"/>
      <sheetName val="표지_(3)3"/>
      <sheetName val="표지_(2)3"/>
      <sheetName val="교각집계_(2)3"/>
      <sheetName val="교각토공_(2)3"/>
      <sheetName val="교각철근_(2)3"/>
      <sheetName val="외주대비_-석축3"/>
      <sheetName val="외주대비-구조물_(2)3"/>
      <sheetName val="견적표지_(3)3"/>
      <sheetName val="_HIT-&gt;HMC_견적(3900)3"/>
      <sheetName val="일__위__대__가__목__록3"/>
      <sheetName val="6__안전관리비4"/>
      <sheetName val="HRSG_SMALL072203"/>
      <sheetName val="교각토공__2_3"/>
      <sheetName val="3_공통공사대비3"/>
      <sheetName val="8_현장관리비2"/>
      <sheetName val="7_안전관리비2"/>
      <sheetName val="2차전체변경예정_(2)2"/>
      <sheetName val="단면_(2)2"/>
      <sheetName val="8_PILE__(돌출)2"/>
      <sheetName val="토공유동표(전체_당초)2"/>
      <sheetName val="b_balju_(2)2"/>
      <sheetName val="중기조종사_단위단가2"/>
      <sheetName val="2_2_오피스텔(12~32F)1"/>
      <sheetName val="일위대가_집계표1"/>
      <sheetName val="6__안전관리비5"/>
      <sheetName val="자__재1"/>
      <sheetName val="개인별_순위표1"/>
      <sheetName val="CM_11"/>
      <sheetName val="기술부_VENDOR_LIST1"/>
      <sheetName val="단계별내역_(2)1"/>
      <sheetName val="제출내역_(2)1"/>
      <sheetName val="2_2_띠장의_설계1"/>
      <sheetName val="9_1지하2층하부보1"/>
      <sheetName val="4_일위대가1"/>
      <sheetName val="명일작업계획_(3)"/>
      <sheetName val="내역서_(3)1"/>
      <sheetName val="산출양식_(2)1"/>
      <sheetName val="전체산출내역서갑(변경)_1"/>
      <sheetName val="A_터파기공1"/>
      <sheetName val="B_측·집1"/>
      <sheetName val="배(자·집)_(2)1"/>
      <sheetName val="2_01측·터·집1"/>
      <sheetName val="땅깍·수_(1-1)1"/>
      <sheetName val="0-52_1"/>
      <sheetName val="콘·다_(2)1"/>
      <sheetName val="기·집_(2)1"/>
      <sheetName val="콘·다_(3)1"/>
      <sheetName val="병원내역집계표_(2)1"/>
      <sheetName val="실행총괄_1"/>
      <sheetName val="[IL-3_XLSY갑지1"/>
      <sheetName val="4_일위대가목차1"/>
      <sheetName val="내역_ver1_01"/>
      <sheetName val="2000,9월_일위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변압기_및_발전기_용량"/>
      <sheetName val="조도계산서_(도서)"/>
      <sheetName val="빌딩_안내"/>
      <sheetName val="CABLE_(2)"/>
      <sheetName val="G_R300경비"/>
      <sheetName val="단가대비표_(3)"/>
      <sheetName val="기성내역서(을)_(2)"/>
      <sheetName val="1단계_(2)"/>
      <sheetName val="2_1__노무비_평균단가산출"/>
      <sheetName val="3_공사비(07년노임단가)"/>
      <sheetName val="3_공사비(단가조사표)"/>
      <sheetName val="3_공사비(물량산출표)"/>
      <sheetName val="3_공사비(일위대가표목록)"/>
      <sheetName val="3_공사비(일위대가표)"/>
      <sheetName val="TRE_TABLE"/>
      <sheetName val="Requirement(Work_Crew)"/>
      <sheetName val="진입도로B_(2)"/>
      <sheetName val="2_냉난방설비공사"/>
      <sheetName val="7_자동제어공사"/>
      <sheetName val="중강당_내역"/>
      <sheetName val="기초자료입력및_K치_확인"/>
      <sheetName val="실행내역_"/>
      <sheetName val="자재_단가_비교표(견적)"/>
      <sheetName val="자재_단가_비교표"/>
      <sheetName val="Bid_Summary"/>
      <sheetName val="이동시_예상비용"/>
      <sheetName val="Seg_1DE비용"/>
      <sheetName val="Transit_비용_감가상각미포함"/>
      <sheetName val="세골재__T2_변경_현황"/>
      <sheetName val="전화공사_공량_및_집계표"/>
      <sheetName val="참조_(2)"/>
      <sheetName val="6__직접경비"/>
      <sheetName val="대가_(보완)"/>
      <sheetName val="3_자재비(총괄)"/>
      <sheetName val="제조_경영"/>
      <sheetName val="4_전기"/>
      <sheetName val="노_무_비"/>
      <sheetName val="미납품_현황"/>
      <sheetName val="신설개소별_총집계표(동해-배전)"/>
      <sheetName val="용선_C_L"/>
      <sheetName val="전_체"/>
      <sheetName val="흙막이B_(오산운암)"/>
      <sheetName val="타이로드_흙막이"/>
      <sheetName val="타이로드_흙막이(근입장2_5M)"/>
      <sheetName val="타이로드(근입장2_5M)"/>
      <sheetName val="pile_항타"/>
      <sheetName val="pile_항타(디젤)"/>
      <sheetName val="pile_항타_A"/>
      <sheetName val="pile_항타_B"/>
      <sheetName val="pile_항타_C"/>
      <sheetName val="pile_인발"/>
      <sheetName val="pile_인발_A"/>
      <sheetName val="pile_인발_B"/>
      <sheetName val="pile_인발_C"/>
      <sheetName val="20TON_TRAILER"/>
      <sheetName val="토류판_(2)"/>
      <sheetName val="SHEET_PILE단가"/>
      <sheetName val="2_1외주"/>
      <sheetName val="2_3노무"/>
      <sheetName val="2_4자재"/>
      <sheetName val="2_2장비"/>
      <sheetName val="2_5경비"/>
      <sheetName val="2_6수목대"/>
      <sheetName val="3련_BOX"/>
      <sheetName val="총괄집계_"/>
      <sheetName val="고객사_관리_코드"/>
      <sheetName val="Level-DATA"/>
      <sheetName val="Fr Revit"/>
      <sheetName val="NSA Summary"/>
      <sheetName val="FitOutConfCentre"/>
      <sheetName val="YES-T"/>
      <sheetName val="단위중량표"/>
      <sheetName val="8설7발"/>
      <sheetName val="수벽설치(효자)"/>
      <sheetName val="주안3차A-A"/>
      <sheetName val="내역(전력)"/>
      <sheetName val="D.B"/>
      <sheetName val="변경내역서"/>
      <sheetName val="콘크리트"/>
      <sheetName val="슬래브수량산출"/>
      <sheetName val="타설"/>
      <sheetName val="월별계획"/>
      <sheetName val="철집"/>
      <sheetName val="GAEYO"/>
      <sheetName val="1.1"/>
      <sheetName val="공종코드"/>
      <sheetName val="구조물터파기ꗤNˠ"/>
      <sheetName val="외주대비x_x0000_Ԁ_x0000_"/>
      <sheetName val="발주현황"/>
      <sheetName val="품의"/>
      <sheetName val="요약표"/>
      <sheetName val="직영"/>
      <sheetName val="외주(보온)"/>
      <sheetName val="외주(NDE)"/>
      <sheetName val="2019년외주공사"/>
      <sheetName val="동강 배관"/>
      <sheetName val="WCR 외주"/>
      <sheetName val="ANLINE"/>
      <sheetName val="ANILINE - OPTION"/>
      <sheetName val="MDI"/>
      <sheetName val="MDI - OPTION"/>
      <sheetName val="CCD"/>
      <sheetName val="수량산출서뺑"/>
      <sheetName val="기초입력ԯ_x0000_缀_x0000__x0000_"/>
      <sheetName val="K2 site Total 내역서"/>
      <sheetName val="제잡비(주공종)"/>
      <sheetName val="원가계산서(기계+소방)"/>
      <sheetName val="기성집계표(기계+소방)"/>
      <sheetName val="기성내역서(기계+소방)"/>
      <sheetName val="표지(기계)"/>
      <sheetName val="기성갑지(기계)"/>
      <sheetName val="금회 청구사항(기계)"/>
      <sheetName val="원가계산서(기계)"/>
      <sheetName val="기성집계표(기계)"/>
      <sheetName val="기성내역서(기계)"/>
      <sheetName val="표지(소방)"/>
      <sheetName val="기성갑지 (소방)"/>
      <sheetName val="금회 청구사항(소방)"/>
      <sheetName val="원가계산서(소방)"/>
      <sheetName val="기성집계표(소방)"/>
      <sheetName val="기성내역서(소방)"/>
      <sheetName val="부도어음"/>
      <sheetName val="토량산출서"/>
      <sheetName val="합천내역"/>
      <sheetName val="기계실냉༛彬"/>
      <sheetName val="06 일위대가목록"/>
      <sheetName val="0217상가미분양자산"/>
      <sheetName val="2_1"/>
      <sheetName val="사__업__비__수__지__예__산__서"/>
      <sheetName val="기계_도급내역서"/>
      <sheetName val="10_경제성분석"/>
      <sheetName val="1차설계逷≙≙"/>
      <sheetName val="20관리비율"/>
      <sheetName val="1.청구서"/>
      <sheetName val="2.내역서"/>
      <sheetName val="기성지급예정"/>
      <sheetName val="실지급내역"/>
      <sheetName val="노무비지급"/>
      <sheetName val="표"/>
      <sheetName val="수지예산"/>
      <sheetName val="GiaVT"/>
      <sheetName val="Q'ty"/>
      <sheetName val="chi tiet"/>
      <sheetName val="PPC Summary"/>
      <sheetName val="Worshop"/>
      <sheetName val="ac"/>
      <sheetName val="LPG"/>
      <sheetName val="Lumen"/>
      <sheetName val="해외교육"/>
      <sheetName val="foxz"/>
      <sheetName val="Tong hop"/>
      <sheetName val="Phan lap dat"/>
      <sheetName val="Lắp Ráp"/>
      <sheetName val="구조ఀ덀_x0000_"/>
      <sheetName val="구조怀ྋĀ"/>
      <sheetName val="연평잔"/>
      <sheetName val="Efficiency"/>
      <sheetName val="전압강하"/>
      <sheetName val="LD"/>
      <sheetName val="부대표지_x0000__x0000__x0005__x0000_⽠"/>
      <sheetName val="부대표지츀 _x0000__x0000_얈"/>
      <sheetName val="부대표지츀 _x0000__x0000_篐"/>
      <sheetName val="가정급수관"/>
      <sheetName val="총공사Ԁ쭭㠯"/>
      <sheetName val="_x0000__x0010__x0000_내"/>
      <sheetName val="⑻동원인원산출서⑧"/>
      <sheetName val="벽체면적˱ጐɈី"/>
      <sheetName val="도시정비"/>
      <sheetName val="개발"/>
      <sheetName val="도시정비 "/>
      <sheetName val="민간"/>
      <sheetName val="동력부하계산"/>
      <sheetName val="일위대가Ȓ_x0000_"/>
      <sheetName val="일위대가顔-"/>
      <sheetName val="chiettinh"/>
      <sheetName val="Parem"/>
      <sheetName val="THVT"/>
      <sheetName val="1공구_건정토건_토공5"/>
      <sheetName val="1공구_건정토건_철콘5"/>
      <sheetName val="도급표지_5"/>
      <sheetName val="도급표지__(4)5"/>
      <sheetName val="부대표지_(4)5"/>
      <sheetName val="도급표지__(3)5"/>
      <sheetName val="부대표지_(3)5"/>
      <sheetName val="도급표지__(2)5"/>
      <sheetName val="부대표지_(2)5"/>
      <sheetName val="토__목5"/>
      <sheetName val="조__경5"/>
      <sheetName val="전_기5"/>
      <sheetName val="건__축5"/>
      <sheetName val="보도내역_(3)5"/>
      <sheetName val="준검_내역서5"/>
      <sheetName val="1_수인터널5"/>
      <sheetName val="2_대외공문5"/>
      <sheetName val="6PILE__(돌출)5"/>
      <sheetName val="AS포장복구_5"/>
      <sheetName val="설_계5"/>
      <sheetName val="내역(최종본4_5)5"/>
      <sheetName val="0_0ControlSheet5"/>
      <sheetName val="0_1keyAssumption5"/>
      <sheetName val="Sheet1_(2)4"/>
      <sheetName val="입출재고현황_(2)4"/>
      <sheetName val="전차선로_물량표4"/>
      <sheetName val="노원열병합__건축공사기성내역서4"/>
      <sheetName val="1_취수장4"/>
      <sheetName val="_총괄표4"/>
      <sheetName val="96보완계획7_124"/>
      <sheetName val="BSD_(2)4"/>
      <sheetName val="4_내진설계4"/>
      <sheetName val="3BL공동구_수량4"/>
      <sheetName val="실행내역서_4"/>
      <sheetName val="부대입찰_내역서4"/>
      <sheetName val="1__설계조건_2_단면가정_3__하중계산4"/>
      <sheetName val="DATA_입력란4"/>
      <sheetName val="1_설계조건4"/>
      <sheetName val="2_고용보험료산출근거4"/>
      <sheetName val="제잡비_xls4"/>
      <sheetName val="인건비_4"/>
      <sheetName val="콤보박스와_리스트박스의_연결4"/>
      <sheetName val="4_경비_5_영업외수지2"/>
      <sheetName val="_견적서2"/>
      <sheetName val="현장별계약현황('98_10_31)4"/>
      <sheetName val="토공(우물통,기타)_4"/>
      <sheetName val="플랜트_설치4"/>
      <sheetName val="원가계산_(2)4"/>
      <sheetName val="Eq__Mobilization4"/>
      <sheetName val="장비당단가_(1)3"/>
      <sheetName val="Sheet2_(2)3"/>
      <sheetName val="97년_추정4"/>
      <sheetName val="현장관리비_산출내역4"/>
      <sheetName val="2000년_공정표2"/>
      <sheetName val="수_량_명_세_서_-_13"/>
      <sheetName val="광통신_견적내역서12"/>
      <sheetName val="할증_2"/>
      <sheetName val="unit_42"/>
      <sheetName val="1_설계기준3"/>
      <sheetName val="별표_3"/>
      <sheetName val="2_건축3"/>
      <sheetName val="공정표_3"/>
      <sheetName val="설내역서_3"/>
      <sheetName val="프라임_강변역(4,236)2"/>
      <sheetName val="내___역2"/>
      <sheetName val="집_계_표2"/>
      <sheetName val="8_PILE__(돌출)3"/>
      <sheetName val="5_2코핑2"/>
      <sheetName val="배수공_시멘트_및_골재량_산출2"/>
      <sheetName val="7_PILE__(돌출)2"/>
      <sheetName val="P_M_별2"/>
      <sheetName val="CIP_공사3"/>
      <sheetName val="표지_(2)4"/>
      <sheetName val="수량산출서_갑지2"/>
      <sheetName val="DATA_입력부2"/>
      <sheetName val="표지_(3)4"/>
      <sheetName val="교각집계_(2)4"/>
      <sheetName val="교각토공_(2)4"/>
      <sheetName val="교각철근_(2)4"/>
      <sheetName val="외주대비_-석축4"/>
      <sheetName val="외주대비-구조물_(2)4"/>
      <sheetName val="견적표지_(3)4"/>
      <sheetName val="_HIT-&gt;HMC_견적(3900)4"/>
      <sheetName val="일__위__대__가__목__록4"/>
      <sheetName val="6__안전관리비6"/>
      <sheetName val="HRSG_SMALL072204"/>
      <sheetName val="교각토공__2_4"/>
      <sheetName val="3_공통공사대비4"/>
      <sheetName val="8_현장관리비3"/>
      <sheetName val="7_안전관리비3"/>
      <sheetName val="하도내역_(철콘)3"/>
      <sheetName val="조건표_(2)3"/>
      <sheetName val="목차_3"/>
      <sheetName val="7__현장관리비_3"/>
      <sheetName val="노무비_근거3"/>
      <sheetName val="임율_Data3"/>
      <sheetName val="2차전체변경예정_(2)3"/>
      <sheetName val="단면_(2)3"/>
      <sheetName val="토공유동표(전체_당초)3"/>
      <sheetName val="구조______2"/>
      <sheetName val="b_balju_(2)3"/>
      <sheetName val="노무비_2"/>
      <sheetName val="화재_탐지_설비2"/>
      <sheetName val="Customer_Databas2"/>
      <sheetName val="4_LINE2"/>
      <sheetName val="7_th2"/>
      <sheetName val="_갑지2"/>
      <sheetName val="4_일위대가집계2"/>
      <sheetName val="내역서_제출2"/>
      <sheetName val="A_LINE2"/>
      <sheetName val="5__현장관리비(new)_2"/>
      <sheetName val="방배동내역_(총괄)2"/>
      <sheetName val="간_지12"/>
      <sheetName val="5__현장관리비_new__2"/>
      <sheetName val="Temporary_Mooring2"/>
      <sheetName val="중기조종사_단위단가3"/>
      <sheetName val="총_원가계산2"/>
      <sheetName val="2_교량(신설)2"/>
      <sheetName val="EQUIP_LIST2"/>
      <sheetName val="일위대가_(PM)1"/>
      <sheetName val="2000_052"/>
      <sheetName val="원내역서_그대로1"/>
      <sheetName val="1_3_1절점좌표2"/>
      <sheetName val="1_1설계기준2"/>
      <sheetName val="1_본부별2"/>
      <sheetName val="기초입력_DATA2"/>
      <sheetName val="재활용_악취_먼지DUCT산출2"/>
      <sheetName val="남양시작동자105노65기1_3화1_21"/>
      <sheetName val="관음목장(제출용)자105인97_51"/>
      <sheetName val="전체내역_(2)1"/>
      <sheetName val="Hyundai_Unit_cost_xls1"/>
      <sheetName val="제출내역_(2)2"/>
      <sheetName val="TABLE_DB1"/>
      <sheetName val="쌍용_data_base1"/>
      <sheetName val="969910(_R)1"/>
      <sheetName val="1062-X방향_1"/>
      <sheetName val="5_정산서2"/>
      <sheetName val="PROJECT_BRIEF1"/>
      <sheetName val="4_장비손료2"/>
      <sheetName val="①idea_pipeline1"/>
      <sheetName val="IMP_통일양식1"/>
      <sheetName val="LYS_통일양식1"/>
      <sheetName val="Xunit_(단위환산)1"/>
      <sheetName val="유통기한_프로그램1"/>
      <sheetName val="2_2_오피스텔(12~32F)2"/>
      <sheetName val="일위대가_집계표2"/>
      <sheetName val="6__안전관리비7"/>
      <sheetName val="자__재2"/>
      <sheetName val="개인별_순위표2"/>
      <sheetName val="CM_12"/>
      <sheetName val="기술부_VENDOR_LIST2"/>
      <sheetName val="단계별내역_(2)2"/>
      <sheetName val="2_2_띠장의_설계2"/>
      <sheetName val="경비_(1)1"/>
      <sheetName val="2F_회의실견적(5_14_일대)1"/>
      <sheetName val="단양_00_아파트-세부내역2"/>
      <sheetName val="VENDOR_LIST1"/>
      <sheetName val="단가_1"/>
      <sheetName val="108_수선비1"/>
      <sheetName val="1차_내역서1"/>
      <sheetName val="중기쥰종사_단위단가1"/>
      <sheetName val="1-1_현장정리1"/>
      <sheetName val="1-2_토공1"/>
      <sheetName val="1-3_WMM,GSB1"/>
      <sheetName val="1-4_BITUMINOUS_COURSE1"/>
      <sheetName val="1-5_BOX_CULVERTS1"/>
      <sheetName val="1-6_BRIDGE1"/>
      <sheetName val="1-7_DRAINAGE1"/>
      <sheetName val="1-8_TRAFFIC1"/>
      <sheetName val="1-9_MISCELLANEOUS1"/>
      <sheetName val="1-10_ELECTRICAL1"/>
      <sheetName val="1-12_도급외항목1"/>
      <sheetName val="9_1지하2층하부보2"/>
      <sheetName val="4_2_1_마루높이_검토1"/>
      <sheetName val="4_일위대가2"/>
      <sheetName val="BOX_본체1"/>
      <sheetName val="STEEL_BOX_단면설계(SEC_8)1"/>
      <sheetName val="6_이토처리시간1"/>
      <sheetName val="울진항공등화_내역서1"/>
      <sheetName val="영흥TL(UP,DOWN)_1"/>
      <sheetName val="일_위_대_가_표1"/>
      <sheetName val="설계기준_및_하중계산1"/>
      <sheetName val="5호광장_(만점)2"/>
      <sheetName val="인천국제_(만점)_(2)2"/>
      <sheetName val="전선_및_전선관1"/>
      <sheetName val="Sight_n_M_H1"/>
      <sheetName val="매출요약(월별)_-년간1"/>
      <sheetName val="Piping_Design_Data1"/>
      <sheetName val="4_&amp;_10-inch,_CO2_Combo_&amp;_Sweep1"/>
      <sheetName val="1_䷨수장1"/>
      <sheetName val="4_뀴진설Ⳅ1"/>
      <sheetName val="전䰨선로_물량표1"/>
      <sheetName val="㶀대입찰_내역서1"/>
      <sheetName val="수목데이타_1"/>
      <sheetName val="PTVT_(MAU)1"/>
      <sheetName val="kimre_scrubber1"/>
      <sheetName val="내역서_(2)1"/>
      <sheetName val="strut_type1"/>
      <sheetName val="한성교회_신축공사(050713)_CheckList1"/>
      <sheetName val="FRP_PIPING_일위대가1"/>
      <sheetName val="총괄집계_1"/>
      <sheetName val="MP_MOB1"/>
      <sheetName val="명일작업계획_(3)1"/>
      <sheetName val="내역서_(3)2"/>
      <sheetName val="산출양식_(2)2"/>
      <sheetName val="전체산출내역서갑(변경)_2"/>
      <sheetName val="A_터파기공2"/>
      <sheetName val="B_측·집2"/>
      <sheetName val="배(자·집)_(2)2"/>
      <sheetName val="2_01측·터·집2"/>
      <sheetName val="땅깍·수_(1-1)2"/>
      <sheetName val="0-52_2"/>
      <sheetName val="콘·다_(2)2"/>
      <sheetName val="기·집_(2)2"/>
      <sheetName val="콘·다_(3)2"/>
      <sheetName val="병원내역집계표_(2)2"/>
      <sheetName val="실행총괄_2"/>
      <sheetName val="[IL-3_XLSY갑지2"/>
      <sheetName val="4_일위대가목차2"/>
      <sheetName val="내역_ver1_02"/>
      <sheetName val="2000,9월_일위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변압기_및_발전기_용량1"/>
      <sheetName val="조도계산서_(도서)1"/>
      <sheetName val="빌딩_안내1"/>
      <sheetName val="CABLE_(2)1"/>
      <sheetName val="G_R300경비1"/>
      <sheetName val="단가대비표_(3)1"/>
      <sheetName val="기성내역서(을)_(2)1"/>
      <sheetName val="1단계_(2)1"/>
      <sheetName val="2_1__노무비_평균단가산출1"/>
      <sheetName val="3_공사비(07년노임단가)1"/>
      <sheetName val="3_공사비(단가조사표)1"/>
      <sheetName val="3_공사비(물량산출표)1"/>
      <sheetName val="3_공사비(일위대가표목록)1"/>
      <sheetName val="3_공사비(일위대가표)1"/>
      <sheetName val="TRE_TABLE1"/>
      <sheetName val="Requirement(Work_Crew)1"/>
      <sheetName val="진입도로B_(2)1"/>
      <sheetName val="2_냉난방설비공사1"/>
      <sheetName val="7_자동제어공사1"/>
      <sheetName val="중강당_내역1"/>
      <sheetName val="기초자료입력및_K치_확인1"/>
      <sheetName val="실행내역_1"/>
      <sheetName val="자재_단가_비교표(견적)1"/>
      <sheetName val="자재_단가_비교표1"/>
      <sheetName val="Bid_Summary1"/>
      <sheetName val="이동시_예상비용1"/>
      <sheetName val="Seg_1DE비용1"/>
      <sheetName val="Transit_비용_감가상각미포함1"/>
      <sheetName val="세골재__T2_변경_현황1"/>
      <sheetName val="전화공사_공량_및_집계표1"/>
      <sheetName val="참조_(2)1"/>
      <sheetName val="6__직접경비1"/>
      <sheetName val="대가_(보완)1"/>
      <sheetName val="3_자재비(총괄)1"/>
      <sheetName val="제조_경영1"/>
      <sheetName val="4_전기1"/>
      <sheetName val="노_무_비1"/>
      <sheetName val="미납품_현황1"/>
      <sheetName val="신설개소별_총집계표(동해-배전)1"/>
      <sheetName val="용선_C_L1"/>
      <sheetName val="전_체1"/>
      <sheetName val="흙막이B_(오산운암)1"/>
      <sheetName val="타이로드_흙막이1"/>
      <sheetName val="타이로드_흙막이(근입장2_5M)1"/>
      <sheetName val="타이로드(근입장2_5M)1"/>
      <sheetName val="pile_항타1"/>
      <sheetName val="pile_항타(디젤)1"/>
      <sheetName val="pile_항타_A1"/>
      <sheetName val="pile_항타_B1"/>
      <sheetName val="pile_항타_C1"/>
      <sheetName val="pile_인발1"/>
      <sheetName val="pile_인발_A1"/>
      <sheetName val="pile_인발_B1"/>
      <sheetName val="pile_인발_C1"/>
      <sheetName val="20TON_TRAILER1"/>
      <sheetName val="토류판_(2)1"/>
      <sheetName val="SHEET_PILE단가1"/>
      <sheetName val="함열량_db"/>
      <sheetName val="단가_및_재료비1"/>
      <sheetName val="-15_0"/>
      <sheetName val="고객사_관리_코드1"/>
      <sheetName val="Div26_-_Elect"/>
      <sheetName val="2_1외주1"/>
      <sheetName val="2_3노무1"/>
      <sheetName val="2_4자재1"/>
      <sheetName val="2_2장비1"/>
      <sheetName val="2_5경비1"/>
      <sheetName val="2_6수목대1"/>
      <sheetName val="3련_BOX1"/>
      <sheetName val="모선자재_집계표"/>
      <sheetName val="재료의_할증"/>
      <sheetName val="내역서_"/>
      <sheetName val="공내역_및_견적조건"/>
      <sheetName val="Bảng_mã_VT"/>
      <sheetName val="Khoi_luong"/>
      <sheetName val="DonGia_chetao"/>
      <sheetName val="DonGia_VatTuLK"/>
      <sheetName val="표__지"/>
      <sheetName val="D1_2_COF모듈자재_입출재고_(B급)"/>
      <sheetName val="Fr_Revit"/>
      <sheetName val="NSA_Summary"/>
      <sheetName val="1공구_건정토건_토공6"/>
      <sheetName val="1공구_건정토건_철콘6"/>
      <sheetName val="도급표지_6"/>
      <sheetName val="도급표지__(4)6"/>
      <sheetName val="부대표지_(4)6"/>
      <sheetName val="도급표지__(3)6"/>
      <sheetName val="부대표지_(3)6"/>
      <sheetName val="도급표지__(2)6"/>
      <sheetName val="부대표지_(2)6"/>
      <sheetName val="토__목6"/>
      <sheetName val="조__경6"/>
      <sheetName val="전_기6"/>
      <sheetName val="건__축6"/>
      <sheetName val="보도내역_(3)6"/>
      <sheetName val="준검_내역서6"/>
      <sheetName val="1_수인터널6"/>
      <sheetName val="2_대외공문6"/>
      <sheetName val="6PILE__(돌출)6"/>
      <sheetName val="AS포장복구_6"/>
      <sheetName val="설_계6"/>
      <sheetName val="내역(최종본4_5)6"/>
      <sheetName val="0_0ControlSheet6"/>
      <sheetName val="0_1keyAssumption6"/>
      <sheetName val="Sheet1_(2)5"/>
      <sheetName val="입출재고현황_(2)5"/>
      <sheetName val="전차선로_물량표5"/>
      <sheetName val="노원열병합__건축공사기성내역서5"/>
      <sheetName val="1_취수장5"/>
      <sheetName val="_총괄표5"/>
      <sheetName val="96보완계획7_125"/>
      <sheetName val="BSD_(2)5"/>
      <sheetName val="4_내진설계5"/>
      <sheetName val="3BL공동구_수량5"/>
      <sheetName val="실행내역서_5"/>
      <sheetName val="부대입찰_내역서5"/>
      <sheetName val="1__설계조건_2_단면가정_3__하중계산5"/>
      <sheetName val="DATA_입력란5"/>
      <sheetName val="1_설계조건5"/>
      <sheetName val="2_고용보험료산출근거5"/>
      <sheetName val="제잡비_xls5"/>
      <sheetName val="인건비_5"/>
      <sheetName val="콤보박스와_리스트박스의_연결5"/>
      <sheetName val="4_경비_5_영업외수지3"/>
      <sheetName val="_견적서3"/>
      <sheetName val="현장별계약현황('98_10_31)5"/>
      <sheetName val="토공(우물통,기타)_5"/>
      <sheetName val="플랜트_설치5"/>
      <sheetName val="원가계산_(2)5"/>
      <sheetName val="Eq__Mobilization5"/>
      <sheetName val="장비당단가_(1)4"/>
      <sheetName val="Sheet2_(2)4"/>
      <sheetName val="97년_추정5"/>
      <sheetName val="현장관리비_산출내역5"/>
      <sheetName val="2000년_공정표3"/>
      <sheetName val="수_량_명_세_서_-_14"/>
      <sheetName val="광통신_견적내역서13"/>
      <sheetName val="할증_3"/>
      <sheetName val="unit_43"/>
      <sheetName val="1_설계기준4"/>
      <sheetName val="별표_4"/>
      <sheetName val="2_건축4"/>
      <sheetName val="공정표_4"/>
      <sheetName val="설내역서_4"/>
      <sheetName val="프라임_강변역(4,236)3"/>
      <sheetName val="내___역3"/>
      <sheetName val="집_계_표3"/>
      <sheetName val="8_PILE__(돌출)4"/>
      <sheetName val="5_2코핑3"/>
      <sheetName val="배수공_시멘트_및_골재량_산출3"/>
      <sheetName val="7_PILE__(돌출)3"/>
      <sheetName val="P_M_별3"/>
      <sheetName val="CIP_공사4"/>
      <sheetName val="표지_(2)5"/>
      <sheetName val="수량산출서_갑지3"/>
      <sheetName val="DATA_입력부3"/>
      <sheetName val="표지_(3)5"/>
      <sheetName val="교각집계_(2)5"/>
      <sheetName val="교각토공_(2)5"/>
      <sheetName val="교각철근_(2)5"/>
      <sheetName val="외주대비_-석축5"/>
      <sheetName val="외주대비-구조물_(2)5"/>
      <sheetName val="견적표지_(3)5"/>
      <sheetName val="_HIT-&gt;HMC_견적(3900)5"/>
      <sheetName val="일__위__대__가__목__록5"/>
      <sheetName val="6__안전관리비8"/>
      <sheetName val="HRSG_SMALL072205"/>
      <sheetName val="교각토공__2_5"/>
      <sheetName val="3_공통공사대비5"/>
      <sheetName val="8_현장관리비4"/>
      <sheetName val="7_안전관리비4"/>
      <sheetName val="하도내역_(철콘)4"/>
      <sheetName val="조건표_(2)4"/>
      <sheetName val="목차_4"/>
      <sheetName val="7__현장관리비_4"/>
      <sheetName val="노무비_근거4"/>
      <sheetName val="임율_Data4"/>
      <sheetName val="2차전체변경예정_(2)4"/>
      <sheetName val="단면_(2)4"/>
      <sheetName val="토공유동표(전체_당초)4"/>
      <sheetName val="구조______3"/>
      <sheetName val="b_balju_(2)4"/>
      <sheetName val="노무비_3"/>
      <sheetName val="화재_탐지_설비3"/>
      <sheetName val="Customer_Databas3"/>
      <sheetName val="4_LINE3"/>
      <sheetName val="7_th3"/>
      <sheetName val="_갑지3"/>
      <sheetName val="4_일위대가집계3"/>
      <sheetName val="내역서_제출3"/>
      <sheetName val="A_LINE3"/>
      <sheetName val="5__현장관리비(new)_3"/>
      <sheetName val="방배동내역_(총괄)3"/>
      <sheetName val="간_지13"/>
      <sheetName val="5__현장관리비_new__3"/>
      <sheetName val="Temporary_Mooring3"/>
      <sheetName val="중기조종사_단위단가4"/>
      <sheetName val="총_원가계산3"/>
      <sheetName val="2_교량(신설)3"/>
      <sheetName val="EQUIP_LIST3"/>
      <sheetName val="일위대가_(PM)2"/>
      <sheetName val="2000_053"/>
      <sheetName val="원내역서_그대로2"/>
      <sheetName val="1_3_1절점좌표3"/>
      <sheetName val="1_1설계기준3"/>
      <sheetName val="1_본부별3"/>
      <sheetName val="기초입력_DATA3"/>
      <sheetName val="재활용_악취_먼지DUCT산출3"/>
      <sheetName val="남양시작동자105노65기1_3화1_22"/>
      <sheetName val="관음목장(제출용)자105인97_52"/>
      <sheetName val="전체내역_(2)2"/>
      <sheetName val="Hyundai_Unit_cost_xls2"/>
      <sheetName val="제출내역_(2)3"/>
      <sheetName val="TABLE_DB2"/>
      <sheetName val="쌍용_data_base2"/>
      <sheetName val="969910(_R)2"/>
      <sheetName val="1062-X방향_2"/>
      <sheetName val="5_정산서3"/>
      <sheetName val="PROJECT_BRIEF2"/>
      <sheetName val="4_장비손료3"/>
      <sheetName val="①idea_pipeline2"/>
      <sheetName val="IMP_통일양식2"/>
      <sheetName val="LYS_통일양식2"/>
      <sheetName val="Xunit_(단위환산)2"/>
      <sheetName val="유통기한_프로그램2"/>
      <sheetName val="2_2_오피스텔(12~32F)3"/>
      <sheetName val="일위대가_집계표3"/>
      <sheetName val="6__안전관리비9"/>
      <sheetName val="자__재3"/>
      <sheetName val="개인별_순위표3"/>
      <sheetName val="CM_13"/>
      <sheetName val="기술부_VENDOR_LIST3"/>
      <sheetName val="단계별내역_(2)3"/>
      <sheetName val="2_2_띠장의_설계3"/>
      <sheetName val="경비_(1)2"/>
      <sheetName val="2F_회의실견적(5_14_일대)2"/>
      <sheetName val="단양_00_아파트-세부내역3"/>
      <sheetName val="VENDOR_LIST2"/>
      <sheetName val="단가_2"/>
      <sheetName val="108_수선비2"/>
      <sheetName val="1차_내역서2"/>
      <sheetName val="중기쥰종사_단위단가2"/>
      <sheetName val="1-1_현장정리2"/>
      <sheetName val="1-2_토공2"/>
      <sheetName val="1-3_WMM,GSB2"/>
      <sheetName val="1-4_BITUMINOUS_COURSE2"/>
      <sheetName val="1-5_BOX_CULVERTS2"/>
      <sheetName val="1-6_BRIDGE2"/>
      <sheetName val="1-7_DRAINAGE2"/>
      <sheetName val="1-8_TRAFFIC2"/>
      <sheetName val="1-9_MISCELLANEOUS2"/>
      <sheetName val="1-10_ELECTRICAL2"/>
      <sheetName val="1-12_도급외항목2"/>
      <sheetName val="9_1지하2층하부보3"/>
      <sheetName val="4_2_1_마루높이_검토2"/>
      <sheetName val="4_일위대가3"/>
      <sheetName val="BOX_본체2"/>
      <sheetName val="STEEL_BOX_단면설계(SEC_8)2"/>
      <sheetName val="6_이토처리시간2"/>
      <sheetName val="울진항공등화_내역서2"/>
      <sheetName val="영흥TL(UP,DOWN)_2"/>
      <sheetName val="일_위_대_가_표2"/>
      <sheetName val="PTVT_(MAU)2"/>
      <sheetName val="5호광장_(만점)3"/>
      <sheetName val="인천국제_(만점)_(2)3"/>
      <sheetName val="전선_및_전선관2"/>
      <sheetName val="설계기준_및_하중계산2"/>
      <sheetName val="Sight_n_M_H2"/>
      <sheetName val="매출요약(월별)_-년간2"/>
      <sheetName val="Piping_Design_Data2"/>
      <sheetName val="4_&amp;_10-inch,_CO2_Combo_&amp;_Sweep2"/>
      <sheetName val="1_䷨수장2"/>
      <sheetName val="4_뀴진설Ⳅ2"/>
      <sheetName val="전䰨선로_물량표2"/>
      <sheetName val="㶀대입찰_내역서2"/>
      <sheetName val="수목데이타_2"/>
      <sheetName val="kimre_scrubber2"/>
      <sheetName val="내역서_(2)2"/>
      <sheetName val="strut_type2"/>
      <sheetName val="한성교회_신축공사(050713)_CheckList2"/>
      <sheetName val="FRP_PIPING_일위대가2"/>
      <sheetName val="총괄집계_2"/>
      <sheetName val="MP_MOB2"/>
      <sheetName val="명일작업계획_(3)2"/>
      <sheetName val="내역서_(3)3"/>
      <sheetName val="산출양식_(2)3"/>
      <sheetName val="전체산출내역서갑(변경)_3"/>
      <sheetName val="A_터파기공3"/>
      <sheetName val="B_측·집3"/>
      <sheetName val="배(자·집)_(2)3"/>
      <sheetName val="2_01측·터·집3"/>
      <sheetName val="땅깍·수_(1-1)3"/>
      <sheetName val="0-52_3"/>
      <sheetName val="콘·다_(2)3"/>
      <sheetName val="기·집_(2)3"/>
      <sheetName val="콘·다_(3)3"/>
      <sheetName val="병원내역집계표_(2)3"/>
      <sheetName val="실행총괄_3"/>
      <sheetName val="[IL-3_XLSY갑지3"/>
      <sheetName val="4_일위대가목차3"/>
      <sheetName val="내역_ver1_03"/>
      <sheetName val="2000,9월_일위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변압기_및_발전기_용량2"/>
      <sheetName val="조도계산서_(도서)2"/>
      <sheetName val="빌딩_안내2"/>
      <sheetName val="CABLE_(2)2"/>
      <sheetName val="G_R300경비2"/>
      <sheetName val="단가대비표_(3)2"/>
      <sheetName val="기성내역서(을)_(2)2"/>
      <sheetName val="1단계_(2)2"/>
      <sheetName val="2_1__노무비_평균단가산출2"/>
      <sheetName val="3_공사비(07년노임단가)2"/>
      <sheetName val="3_공사비(단가조사표)2"/>
      <sheetName val="3_공사비(물량산출표)2"/>
      <sheetName val="3_공사비(일위대가표목록)2"/>
      <sheetName val="3_공사비(일위대가표)2"/>
      <sheetName val="TRE_TABLE2"/>
      <sheetName val="Requirement(Work_Crew)2"/>
      <sheetName val="진입도로B_(2)2"/>
      <sheetName val="2_냉난방설비공사2"/>
      <sheetName val="7_자동제어공사2"/>
      <sheetName val="중강당_내역2"/>
      <sheetName val="기초자료입력및_K치_확인2"/>
      <sheetName val="실행내역_2"/>
      <sheetName val="자재_단가_비교표(견적)2"/>
      <sheetName val="자재_단가_비교표2"/>
      <sheetName val="Bid_Summary2"/>
      <sheetName val="이동시_예상비용2"/>
      <sheetName val="Seg_1DE비용2"/>
      <sheetName val="Transit_비용_감가상각미포함2"/>
      <sheetName val="세골재__T2_변경_현황2"/>
      <sheetName val="전화공사_공량_및_집계표2"/>
      <sheetName val="참조_(2)2"/>
      <sheetName val="6__직접경비2"/>
      <sheetName val="대가_(보완)2"/>
      <sheetName val="3_자재비(총괄)2"/>
      <sheetName val="제조_경영2"/>
      <sheetName val="4_전기2"/>
      <sheetName val="노_무_비2"/>
      <sheetName val="미납품_현황2"/>
      <sheetName val="신설개소별_총집계표(동해-배전)2"/>
      <sheetName val="용선_C_L2"/>
      <sheetName val="전_체2"/>
      <sheetName val="흙막이B_(오산운암)2"/>
      <sheetName val="타이로드_흙막이2"/>
      <sheetName val="타이로드_흙막이(근입장2_5M)2"/>
      <sheetName val="타이로드(근입장2_5M)2"/>
      <sheetName val="pile_항타2"/>
      <sheetName val="pile_항타(디젤)2"/>
      <sheetName val="pile_항타_A2"/>
      <sheetName val="pile_항타_B2"/>
      <sheetName val="pile_항타_C2"/>
      <sheetName val="pile_인발2"/>
      <sheetName val="pile_인발_A2"/>
      <sheetName val="pile_인발_B2"/>
      <sheetName val="pile_인발_C2"/>
      <sheetName val="20TON_TRAILER2"/>
      <sheetName val="토류판_(2)2"/>
      <sheetName val="SHEET_PILE단가2"/>
      <sheetName val="함열량_db1"/>
      <sheetName val="10_경제성분석1"/>
      <sheetName val="단가_및_재료비2"/>
      <sheetName val="기계_도급내역서1"/>
      <sheetName val="-15_01"/>
      <sheetName val="고객사_관리_코드2"/>
      <sheetName val="사__업__비__수__지__예__산__서1"/>
      <sheetName val="Div26_-_Elect1"/>
      <sheetName val="2_1외주2"/>
      <sheetName val="2_3노무2"/>
      <sheetName val="2_4자재2"/>
      <sheetName val="2_2장비2"/>
      <sheetName val="2_5경비2"/>
      <sheetName val="2_6수목대2"/>
      <sheetName val="3련_BOX2"/>
      <sheetName val="모선자재_집계표1"/>
      <sheetName val="재료의_할증1"/>
      <sheetName val="내역서_1"/>
      <sheetName val="공내역_및_견적조건1"/>
      <sheetName val="2_11"/>
      <sheetName val="Bảng_mã_VT1"/>
      <sheetName val="Khoi_luong1"/>
      <sheetName val="DonGia_chetao1"/>
      <sheetName val="DonGia_VatTuLK1"/>
      <sheetName val="표__지1"/>
      <sheetName val="D1_2_COF모듈자재_입출재고_(B급)1"/>
      <sheetName val="Fr_Revit1"/>
      <sheetName val="NSA_Summary1"/>
      <sheetName val="CF_DT"/>
      <sheetName val="Quantity"/>
      <sheetName val="Prelims"/>
      <sheetName val="Rate"/>
      <sheetName val="cong thuc tinh chi tiet"/>
      <sheetName val="00000000"/>
      <sheetName val="cong_thuc_tinh_chi_tiet"/>
      <sheetName val="cong_thuc_tinh_chi_tiet1"/>
      <sheetName val="Kiem-Toan"/>
      <sheetName val="gVL"/>
      <sheetName val="부대공사비"/>
      <sheetName val="횡배수관 토공량 산출"/>
      <sheetName val="1공구_건정토건_토_x0000__x0000_"/>
      <sheetName val="자재단가표"/>
      <sheetName val="계약대비내역서 (부경)"/>
      <sheetName val="집행대비내역서 (부경)"/>
      <sheetName val="계약그라우팅.포장"/>
      <sheetName val="계약사무실조경 "/>
      <sheetName val="평가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/>
      <sheetData sheetId="2329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/>
      <sheetData sheetId="2459" refreshError="1"/>
      <sheetData sheetId="2460" refreshError="1"/>
      <sheetData sheetId="2461" refreshError="1"/>
      <sheetData sheetId="2462" refreshError="1"/>
      <sheetData sheetId="2463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 refreshError="1"/>
      <sheetData sheetId="2758" refreshError="1"/>
      <sheetData sheetId="2759" refreshError="1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 refreshError="1"/>
      <sheetData sheetId="2788" refreshError="1"/>
      <sheetData sheetId="2789"/>
      <sheetData sheetId="2790"/>
      <sheetData sheetId="2791"/>
      <sheetData sheetId="2792"/>
      <sheetData sheetId="2793"/>
      <sheetData sheetId="2794"/>
      <sheetData sheetId="2795" refreshError="1"/>
      <sheetData sheetId="2796"/>
      <sheetData sheetId="2797"/>
      <sheetData sheetId="2798"/>
      <sheetData sheetId="2799" refreshError="1"/>
      <sheetData sheetId="2800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/>
      <sheetData sheetId="2992"/>
      <sheetData sheetId="2993"/>
      <sheetData sheetId="2994"/>
      <sheetData sheetId="2995"/>
      <sheetData sheetId="2996" refreshError="1"/>
      <sheetData sheetId="2997"/>
      <sheetData sheetId="2998"/>
      <sheetData sheetId="2999"/>
      <sheetData sheetId="3000"/>
      <sheetData sheetId="3001"/>
      <sheetData sheetId="3002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/>
      <sheetData sheetId="3014"/>
      <sheetData sheetId="3015"/>
      <sheetData sheetId="3016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/>
      <sheetData sheetId="3027" refreshError="1"/>
      <sheetData sheetId="3028" refreshError="1"/>
      <sheetData sheetId="3029" refreshError="1"/>
      <sheetData sheetId="3030" refreshError="1"/>
      <sheetData sheetId="3031"/>
      <sheetData sheetId="3032"/>
      <sheetData sheetId="3033"/>
      <sheetData sheetId="3034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 refreshError="1"/>
      <sheetData sheetId="3664" refreshError="1"/>
      <sheetData sheetId="3665" refreshError="1"/>
      <sheetData sheetId="3666" refreshError="1"/>
      <sheetData sheetId="3667"/>
      <sheetData sheetId="3668"/>
      <sheetData sheetId="3669"/>
      <sheetData sheetId="3670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록1"/>
      <sheetName val="간지1"/>
      <sheetName val="표1-1"/>
      <sheetName val="표1-1 (미포함)"/>
      <sheetName val="표1-2"/>
      <sheetName val="표1-3"/>
      <sheetName val="표1-4"/>
      <sheetName val="표1-5"/>
      <sheetName val="간지2"/>
      <sheetName val="표2-1"/>
      <sheetName val="표2-2"/>
      <sheetName val="표2-3"/>
      <sheetName val="표2-4"/>
      <sheetName val="간지3"/>
      <sheetName val="표3-1"/>
      <sheetName val="부록2"/>
      <sheetName val="표5-1 (1)"/>
      <sheetName val="표5-2(1)"/>
      <sheetName val="표5-3(1)"/>
      <sheetName val="&gt;&gt;&gt;&gt;&gt;&gt;&gt;&gt;&gt;"/>
      <sheetName val="간지5"/>
      <sheetName val="표5-1"/>
      <sheetName val="표5-2"/>
      <sheetName val="표5-3"/>
      <sheetName val="표5-4"/>
      <sheetName val="표5-5"/>
      <sheetName val="간지6"/>
      <sheetName val="표6-1"/>
      <sheetName val="표6-2"/>
      <sheetName val="표6-3"/>
      <sheetName val="표6-4"/>
      <sheetName val="표6-5"/>
      <sheetName val="간지7"/>
      <sheetName val="표7-1"/>
      <sheetName val="표7-2"/>
      <sheetName val="표7-3"/>
      <sheetName val="표7-4"/>
      <sheetName val="표7-5"/>
      <sheetName val="&gt;&gt;&gt;&gt;&gt;&gt;&gt;&gt;&gt; 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">
          <cell r="C8">
            <v>424902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곽원규" id="{B72F784B-732A-4260-B15A-2A64F7B042A9}" userId="S::nicewon@knou.ac.kr::e4b682d1-5dc7-4e59-a1f4-dc367438ce7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3-07-31T09:25:09.30" personId="{B72F784B-732A-4260-B15A-2A64F7B042A9}" id="{60B7BFE3-11C8-4A66-AAED-5F6048CBC26A}">
    <text xml:space="preserve">노동절, 석가탄신일
</text>
  </threadedComment>
  <threadedComment ref="I10" dT="2023-07-31T09:26:05.38" personId="{B72F784B-732A-4260-B15A-2A64F7B042A9}" id="{793B3398-D5DF-416E-96F1-7195B1945423}">
    <text>광복절</text>
  </threadedComment>
  <threadedComment ref="M10" dT="2023-07-31T09:26:44.76" personId="{B72F784B-732A-4260-B15A-2A64F7B042A9}" id="{896441CB-1F61-46AB-A777-3789D96BA889}">
    <text>성탄절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21" dT="2023-07-31T14:29:01.65" personId="{B72F784B-732A-4260-B15A-2A64F7B042A9}" id="{F1644EC6-DBF6-43E1-B737-0768C026D075}">
    <text>기본요금 사용량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1.bin"/><Relationship Id="rId4" Type="http://schemas.microsoft.com/office/2017/10/relationships/threadedComment" Target="../threadedComments/threadedComment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topLeftCell="B65536" zoomScaleSheetLayoutView="6" workbookViewId="0"/>
  </sheetViews>
  <sheetFormatPr defaultRowHeight="13.5"/>
  <sheetData/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V20"/>
  <sheetViews>
    <sheetView view="pageBreakPreview" topLeftCell="A2" zoomScale="115" zoomScaleNormal="100" zoomScaleSheetLayoutView="115" workbookViewId="0">
      <selection activeCell="E22" sqref="E22"/>
    </sheetView>
  </sheetViews>
  <sheetFormatPr defaultColWidth="11.109375" defaultRowHeight="13.5"/>
  <cols>
    <col min="1" max="10" width="11.6640625" style="679" customWidth="1"/>
    <col min="11" max="16384" width="11.109375" style="679"/>
  </cols>
  <sheetData>
    <row r="1" spans="1:256" ht="23.1" customHeight="1">
      <c r="A1" s="676"/>
      <c r="B1" s="677"/>
      <c r="C1" s="677"/>
      <c r="D1" s="677"/>
      <c r="E1" s="677"/>
      <c r="F1" s="677"/>
      <c r="G1" s="677"/>
      <c r="H1" s="677"/>
      <c r="I1" s="677"/>
      <c r="J1" s="678"/>
    </row>
    <row r="2" spans="1:256" ht="23.1" customHeight="1">
      <c r="A2" s="680"/>
      <c r="J2" s="681"/>
    </row>
    <row r="3" spans="1:256" ht="23.1" customHeight="1">
      <c r="A3" s="680"/>
      <c r="J3" s="681"/>
    </row>
    <row r="4" spans="1:256" ht="25.5">
      <c r="A4" s="1256" t="str">
        <f>갑지!AE12</f>
        <v>파주시 운정 자동집하시설 운영비용 원가산정용역</v>
      </c>
      <c r="B4" s="1257"/>
      <c r="C4" s="1257"/>
      <c r="D4" s="1257"/>
      <c r="E4" s="1257"/>
      <c r="F4" s="1257"/>
      <c r="G4" s="1257"/>
      <c r="H4" s="1257"/>
      <c r="I4" s="1257"/>
      <c r="J4" s="1258"/>
    </row>
    <row r="5" spans="1:256" ht="23.1" customHeight="1">
      <c r="A5" s="680"/>
      <c r="J5" s="681"/>
    </row>
    <row r="6" spans="1:256" ht="51">
      <c r="A6" s="683"/>
      <c r="B6" s="1259" t="s">
        <v>780</v>
      </c>
      <c r="C6" s="1259"/>
      <c r="D6" s="1259"/>
      <c r="E6" s="1259"/>
      <c r="F6" s="1259"/>
      <c r="G6" s="1259"/>
      <c r="H6" s="1259"/>
      <c r="I6" s="1259"/>
      <c r="J6" s="684"/>
      <c r="K6" s="685"/>
      <c r="L6" s="685"/>
      <c r="M6" s="685"/>
      <c r="N6" s="685"/>
      <c r="O6" s="685"/>
      <c r="P6" s="685"/>
      <c r="Q6" s="685"/>
      <c r="R6" s="685"/>
      <c r="S6" s="685"/>
      <c r="T6" s="685"/>
      <c r="U6" s="685"/>
      <c r="V6" s="685"/>
      <c r="W6" s="685"/>
      <c r="X6" s="685"/>
      <c r="Y6" s="685"/>
      <c r="Z6" s="685"/>
      <c r="AA6" s="685"/>
      <c r="AB6" s="685"/>
      <c r="AC6" s="685"/>
      <c r="AD6" s="685"/>
      <c r="AE6" s="685"/>
      <c r="AF6" s="685"/>
      <c r="AG6" s="685"/>
      <c r="AH6" s="685"/>
      <c r="AI6" s="685"/>
      <c r="AJ6" s="685"/>
      <c r="AK6" s="685"/>
      <c r="AL6" s="685"/>
      <c r="AM6" s="685"/>
      <c r="AN6" s="685"/>
      <c r="AO6" s="685"/>
      <c r="AP6" s="685"/>
      <c r="AQ6" s="685"/>
      <c r="AR6" s="685"/>
      <c r="AS6" s="685"/>
      <c r="AT6" s="685"/>
      <c r="AU6" s="685"/>
      <c r="AV6" s="685"/>
      <c r="AW6" s="685"/>
      <c r="AX6" s="685"/>
      <c r="AY6" s="685"/>
      <c r="AZ6" s="685"/>
      <c r="BA6" s="685"/>
      <c r="BB6" s="685"/>
      <c r="BC6" s="685"/>
      <c r="BD6" s="685"/>
      <c r="BE6" s="685"/>
      <c r="BF6" s="685"/>
      <c r="BG6" s="685"/>
      <c r="BH6" s="685"/>
      <c r="BI6" s="685"/>
      <c r="BJ6" s="685"/>
      <c r="BK6" s="685"/>
      <c r="BL6" s="685"/>
      <c r="BM6" s="685"/>
      <c r="BN6" s="685"/>
      <c r="BO6" s="685"/>
      <c r="BP6" s="685"/>
      <c r="BQ6" s="685"/>
      <c r="BR6" s="685"/>
      <c r="BS6" s="685"/>
      <c r="BT6" s="685"/>
      <c r="BU6" s="685"/>
      <c r="BV6" s="685"/>
      <c r="BW6" s="685"/>
      <c r="BX6" s="685"/>
      <c r="BY6" s="685"/>
      <c r="BZ6" s="685"/>
      <c r="CA6" s="685"/>
      <c r="CB6" s="685"/>
      <c r="CC6" s="685"/>
      <c r="CD6" s="685"/>
      <c r="CE6" s="685"/>
      <c r="CF6" s="685"/>
      <c r="CG6" s="685"/>
      <c r="CH6" s="685"/>
      <c r="CI6" s="685"/>
      <c r="CJ6" s="685"/>
      <c r="CK6" s="685"/>
      <c r="CL6" s="685"/>
      <c r="CM6" s="685"/>
      <c r="CN6" s="685"/>
      <c r="CO6" s="685"/>
      <c r="CP6" s="685"/>
      <c r="CQ6" s="685"/>
      <c r="CR6" s="685"/>
      <c r="CS6" s="685"/>
      <c r="CT6" s="685"/>
      <c r="CU6" s="685"/>
      <c r="CV6" s="685"/>
      <c r="CW6" s="685"/>
      <c r="CX6" s="685"/>
      <c r="CY6" s="685"/>
      <c r="CZ6" s="685"/>
      <c r="DA6" s="685"/>
      <c r="DB6" s="685"/>
      <c r="DC6" s="685"/>
      <c r="DD6" s="685"/>
      <c r="DE6" s="685"/>
      <c r="DF6" s="685"/>
      <c r="DG6" s="685"/>
      <c r="DH6" s="685"/>
      <c r="DI6" s="685"/>
      <c r="DJ6" s="685"/>
      <c r="DK6" s="685"/>
      <c r="DL6" s="685"/>
      <c r="DM6" s="685"/>
      <c r="DN6" s="685"/>
      <c r="DO6" s="685"/>
      <c r="DP6" s="685"/>
      <c r="DQ6" s="685"/>
      <c r="DR6" s="685"/>
      <c r="DS6" s="685"/>
      <c r="DT6" s="685"/>
      <c r="DU6" s="685"/>
      <c r="DV6" s="685"/>
      <c r="DW6" s="685"/>
      <c r="DX6" s="685"/>
      <c r="DY6" s="685"/>
      <c r="DZ6" s="685"/>
      <c r="EA6" s="685"/>
      <c r="EB6" s="685"/>
      <c r="EC6" s="685"/>
      <c r="ED6" s="685"/>
      <c r="EE6" s="685"/>
      <c r="EF6" s="685"/>
      <c r="EG6" s="685"/>
      <c r="EH6" s="685"/>
      <c r="EI6" s="685"/>
      <c r="EJ6" s="685"/>
      <c r="EK6" s="685"/>
      <c r="EL6" s="685"/>
      <c r="EM6" s="685"/>
      <c r="EN6" s="685"/>
      <c r="EO6" s="685"/>
      <c r="EP6" s="685"/>
      <c r="EQ6" s="685"/>
      <c r="ER6" s="685"/>
      <c r="ES6" s="685"/>
      <c r="ET6" s="685"/>
      <c r="EU6" s="685"/>
      <c r="EV6" s="685"/>
      <c r="EW6" s="685"/>
      <c r="EX6" s="685"/>
      <c r="EY6" s="685"/>
      <c r="EZ6" s="685"/>
      <c r="FA6" s="685"/>
      <c r="FB6" s="685"/>
      <c r="FC6" s="685"/>
      <c r="FD6" s="685"/>
      <c r="FE6" s="685"/>
      <c r="FF6" s="685"/>
      <c r="FG6" s="685"/>
      <c r="FH6" s="685"/>
      <c r="FI6" s="685"/>
      <c r="FJ6" s="685"/>
      <c r="FK6" s="685"/>
      <c r="FL6" s="685"/>
      <c r="FM6" s="685"/>
      <c r="FN6" s="685"/>
      <c r="FO6" s="685"/>
      <c r="FP6" s="685"/>
      <c r="FQ6" s="685"/>
      <c r="FR6" s="685"/>
      <c r="FS6" s="685"/>
      <c r="FT6" s="685"/>
      <c r="FU6" s="685"/>
      <c r="FV6" s="685"/>
      <c r="FW6" s="685"/>
      <c r="FX6" s="685"/>
      <c r="FY6" s="685"/>
      <c r="FZ6" s="685"/>
      <c r="GA6" s="685"/>
      <c r="GB6" s="685"/>
      <c r="GC6" s="685"/>
      <c r="GD6" s="685"/>
      <c r="GE6" s="685"/>
      <c r="GF6" s="685"/>
      <c r="GG6" s="685"/>
      <c r="GH6" s="685"/>
      <c r="GI6" s="685"/>
      <c r="GJ6" s="685"/>
      <c r="GK6" s="685"/>
      <c r="GL6" s="685"/>
      <c r="GM6" s="685"/>
      <c r="GN6" s="685"/>
      <c r="GO6" s="685"/>
      <c r="GP6" s="685"/>
      <c r="GQ6" s="685"/>
      <c r="GR6" s="685"/>
      <c r="GS6" s="685"/>
      <c r="GT6" s="685"/>
      <c r="GU6" s="685"/>
      <c r="GV6" s="685"/>
      <c r="GW6" s="685"/>
      <c r="GX6" s="685"/>
      <c r="GY6" s="685"/>
      <c r="GZ6" s="685"/>
      <c r="HA6" s="685"/>
      <c r="HB6" s="685"/>
      <c r="HC6" s="685"/>
      <c r="HD6" s="685"/>
      <c r="HE6" s="685"/>
      <c r="HF6" s="685"/>
      <c r="HG6" s="685"/>
      <c r="HH6" s="685"/>
      <c r="HI6" s="685"/>
      <c r="HJ6" s="685"/>
      <c r="HK6" s="685"/>
      <c r="HL6" s="685"/>
      <c r="HM6" s="685"/>
      <c r="HN6" s="685"/>
      <c r="HO6" s="685"/>
      <c r="HP6" s="685"/>
      <c r="HQ6" s="685"/>
      <c r="HR6" s="685"/>
      <c r="HS6" s="685"/>
      <c r="HT6" s="685"/>
      <c r="HU6" s="685"/>
      <c r="HV6" s="685"/>
      <c r="HW6" s="685"/>
      <c r="HX6" s="685"/>
      <c r="HY6" s="685"/>
      <c r="HZ6" s="685"/>
      <c r="IA6" s="685"/>
      <c r="IB6" s="685"/>
      <c r="IC6" s="685"/>
      <c r="ID6" s="685"/>
      <c r="IE6" s="685"/>
      <c r="IF6" s="685"/>
      <c r="IG6" s="685"/>
      <c r="IH6" s="685"/>
      <c r="II6" s="685"/>
      <c r="IJ6" s="685"/>
      <c r="IK6" s="685"/>
      <c r="IL6" s="685"/>
      <c r="IM6" s="685"/>
      <c r="IN6" s="685"/>
      <c r="IO6" s="685"/>
      <c r="IP6" s="685"/>
      <c r="IQ6" s="685"/>
      <c r="IR6" s="685"/>
      <c r="IS6" s="685"/>
      <c r="IT6" s="685"/>
      <c r="IU6" s="685"/>
      <c r="IV6" s="685"/>
    </row>
    <row r="7" spans="1:256" ht="23.1" customHeight="1">
      <c r="A7" s="680"/>
      <c r="J7" s="681"/>
    </row>
    <row r="8" spans="1:256" ht="23.1" customHeight="1">
      <c r="A8" s="680"/>
      <c r="J8" s="681"/>
    </row>
    <row r="9" spans="1:256" ht="23.1" customHeight="1">
      <c r="A9" s="680"/>
      <c r="B9" s="1260"/>
      <c r="C9" s="1260"/>
      <c r="D9" s="1260"/>
      <c r="E9" s="1260"/>
      <c r="F9" s="1260"/>
      <c r="G9" s="1260"/>
      <c r="H9" s="1260"/>
      <c r="I9" s="1260"/>
      <c r="J9" s="686"/>
    </row>
    <row r="10" spans="1:256" ht="23.1" customHeight="1">
      <c r="A10" s="680"/>
      <c r="B10" s="687"/>
      <c r="C10" s="687"/>
      <c r="D10" s="687"/>
      <c r="E10" s="687"/>
      <c r="F10" s="687"/>
      <c r="G10" s="687"/>
      <c r="H10" s="687"/>
      <c r="I10" s="687"/>
      <c r="J10" s="686"/>
    </row>
    <row r="11" spans="1:256" ht="23.1" customHeight="1">
      <c r="A11" s="680"/>
      <c r="J11" s="681"/>
    </row>
    <row r="12" spans="1:256" ht="23.1" customHeight="1">
      <c r="A12" s="680"/>
      <c r="B12" s="1257" t="s">
        <v>1088</v>
      </c>
      <c r="C12" s="1257"/>
      <c r="D12" s="1257"/>
      <c r="E12" s="1257"/>
      <c r="F12" s="1257"/>
      <c r="G12" s="1257"/>
      <c r="H12" s="1257"/>
      <c r="I12" s="1257"/>
      <c r="J12" s="681"/>
    </row>
    <row r="13" spans="1:256" ht="23.1" customHeight="1">
      <c r="A13" s="680"/>
      <c r="B13" s="682"/>
      <c r="C13" s="682"/>
      <c r="D13" s="682"/>
      <c r="E13" s="682"/>
      <c r="F13" s="682"/>
      <c r="G13" s="682"/>
      <c r="H13" s="682"/>
      <c r="I13" s="682"/>
      <c r="J13" s="681"/>
    </row>
    <row r="14" spans="1:256" ht="23.1" customHeight="1">
      <c r="A14" s="680"/>
      <c r="B14" s="682"/>
      <c r="C14" s="682"/>
      <c r="D14" s="682"/>
      <c r="E14" s="682"/>
      <c r="F14" s="682"/>
      <c r="G14" s="682"/>
      <c r="H14" s="682"/>
      <c r="I14" s="682"/>
      <c r="J14" s="681"/>
    </row>
    <row r="15" spans="1:256" ht="23.1" customHeight="1">
      <c r="A15" s="680"/>
      <c r="J15" s="681"/>
    </row>
    <row r="16" spans="1:256" ht="23.1" customHeight="1">
      <c r="A16" s="680"/>
      <c r="J16" s="681"/>
    </row>
    <row r="17" spans="1:10" ht="25.5">
      <c r="A17" s="680"/>
      <c r="C17" s="688"/>
      <c r="D17" s="1261" t="s">
        <v>781</v>
      </c>
      <c r="E17" s="1261"/>
      <c r="F17" s="1261"/>
      <c r="G17" s="1261"/>
      <c r="H17" s="688"/>
      <c r="I17" s="688"/>
      <c r="J17" s="681"/>
    </row>
    <row r="18" spans="1:10" ht="25.5">
      <c r="A18" s="680"/>
      <c r="C18" s="688"/>
      <c r="D18" s="1262" t="s">
        <v>782</v>
      </c>
      <c r="E18" s="1262"/>
      <c r="F18" s="1262"/>
      <c r="G18" s="1262"/>
      <c r="H18" s="688"/>
      <c r="I18" s="688"/>
      <c r="J18" s="681"/>
    </row>
    <row r="19" spans="1:10">
      <c r="A19" s="680"/>
      <c r="J19" s="681"/>
    </row>
    <row r="20" spans="1:10" ht="26.25" thickBot="1">
      <c r="A20" s="689"/>
      <c r="B20" s="1255"/>
      <c r="C20" s="1255"/>
      <c r="D20" s="1255"/>
      <c r="E20" s="1255"/>
      <c r="F20" s="1255"/>
      <c r="G20" s="1255"/>
      <c r="H20" s="1255"/>
      <c r="I20" s="1255"/>
      <c r="J20" s="690"/>
    </row>
  </sheetData>
  <mergeCells count="7">
    <mergeCell ref="B20:I20"/>
    <mergeCell ref="A4:J4"/>
    <mergeCell ref="B6:I6"/>
    <mergeCell ref="B9:I9"/>
    <mergeCell ref="B12:I12"/>
    <mergeCell ref="D17:G17"/>
    <mergeCell ref="D18:G18"/>
  </mergeCells>
  <phoneticPr fontId="3" type="noConversion"/>
  <pageMargins left="0.59055118110236227" right="0.39370078740157483" top="0.59055118110236227" bottom="0.59055118110236227" header="0.19685039370078741" footer="0.19685039370078741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254"/>
  <sheetViews>
    <sheetView view="pageBreakPreview" zoomScaleNormal="100" zoomScaleSheetLayoutView="100" workbookViewId="0">
      <selection activeCell="C27" sqref="C27"/>
    </sheetView>
  </sheetViews>
  <sheetFormatPr defaultRowHeight="16.5"/>
  <cols>
    <col min="1" max="1" width="2.77734375" style="711" customWidth="1"/>
    <col min="2" max="2" width="12.44140625" style="711" customWidth="1"/>
    <col min="3" max="3" width="6.44140625" style="711" customWidth="1"/>
    <col min="4" max="11" width="11.6640625" style="711" customWidth="1"/>
    <col min="12" max="12" width="2.77734375" style="711" customWidth="1"/>
    <col min="13" max="13" width="8.88671875" style="711"/>
    <col min="14" max="14" width="6.44140625" style="711" customWidth="1"/>
    <col min="15" max="17" width="10.33203125" style="711" customWidth="1"/>
    <col min="18" max="16384" width="8.88671875" style="692"/>
  </cols>
  <sheetData>
    <row r="1" spans="1:17" ht="18.75" customHeight="1">
      <c r="A1" s="1263" t="s">
        <v>783</v>
      </c>
      <c r="B1" s="1263"/>
      <c r="C1" s="1263"/>
      <c r="D1" s="1263"/>
      <c r="E1" s="1263"/>
      <c r="F1" s="1263"/>
      <c r="G1" s="1263"/>
      <c r="H1" s="1263"/>
      <c r="I1" s="1263"/>
      <c r="J1" s="1263"/>
      <c r="K1" s="1263"/>
      <c r="L1" s="1263"/>
      <c r="M1" s="1264"/>
      <c r="N1" s="1264"/>
      <c r="O1" s="1264"/>
      <c r="P1" s="1264"/>
      <c r="Q1" s="1264"/>
    </row>
    <row r="2" spans="1:17" ht="18.75" customHeight="1">
      <c r="A2" s="691"/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</row>
    <row r="3" spans="1:17" ht="18.75" customHeight="1">
      <c r="A3" s="691"/>
      <c r="B3" s="691"/>
      <c r="C3" s="691"/>
      <c r="D3" s="691"/>
      <c r="E3" s="691"/>
      <c r="F3" s="691"/>
      <c r="G3" s="691"/>
      <c r="H3" s="691"/>
      <c r="I3" s="691"/>
      <c r="J3" s="691"/>
      <c r="K3" s="691"/>
      <c r="L3" s="691"/>
      <c r="M3" s="691"/>
      <c r="N3" s="691"/>
      <c r="O3" s="691"/>
      <c r="P3" s="691"/>
      <c r="Q3" s="691"/>
    </row>
    <row r="4" spans="1:17" ht="18.75" customHeight="1">
      <c r="A4" s="691"/>
      <c r="B4" s="691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691"/>
      <c r="N4" s="691"/>
      <c r="O4" s="691"/>
      <c r="P4" s="691"/>
      <c r="Q4" s="691"/>
    </row>
    <row r="5" spans="1:17" ht="18.75" customHeight="1">
      <c r="A5" s="693"/>
      <c r="B5" s="694" t="s">
        <v>784</v>
      </c>
      <c r="C5" s="699" t="str">
        <f>갑지!AE12</f>
        <v>파주시 운정 자동집하시설 운영비용 원가산정용역</v>
      </c>
      <c r="D5" s="693"/>
      <c r="E5" s="695"/>
      <c r="F5" s="695"/>
      <c r="G5" s="693"/>
      <c r="H5" s="693"/>
      <c r="I5" s="693"/>
      <c r="J5" s="693"/>
      <c r="K5" s="693"/>
      <c r="L5" s="693"/>
      <c r="M5" s="695"/>
      <c r="N5" s="695"/>
      <c r="O5" s="693"/>
      <c r="P5" s="695"/>
      <c r="Q5" s="695"/>
    </row>
    <row r="6" spans="1:17" ht="18.75" customHeight="1">
      <c r="A6" s="693"/>
      <c r="B6" s="696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7"/>
      <c r="N6" s="693"/>
      <c r="O6" s="693"/>
      <c r="P6" s="693"/>
      <c r="Q6" s="693"/>
    </row>
    <row r="7" spans="1:17" ht="18.75" customHeight="1">
      <c r="A7" s="693"/>
      <c r="B7" s="696"/>
      <c r="C7" s="693"/>
      <c r="D7" s="693"/>
      <c r="E7" s="693"/>
      <c r="F7" s="693"/>
      <c r="G7" s="693"/>
      <c r="H7" s="693"/>
      <c r="I7" s="693"/>
      <c r="J7" s="693"/>
      <c r="K7" s="693"/>
      <c r="L7" s="693"/>
      <c r="M7" s="697"/>
      <c r="N7" s="693"/>
      <c r="O7" s="693"/>
      <c r="P7" s="693"/>
      <c r="Q7" s="693"/>
    </row>
    <row r="8" spans="1:17" ht="18.75" customHeight="1">
      <c r="A8" s="693"/>
      <c r="B8" s="694" t="s">
        <v>785</v>
      </c>
      <c r="C8" s="697" t="str">
        <f>갑지!AE10</f>
        <v>파주시 운정신도시 집하장(가람집하장, 산내집하장, 한울집하장, 한빛집하장)</v>
      </c>
      <c r="D8" s="693"/>
      <c r="E8" s="698"/>
      <c r="F8" s="698"/>
      <c r="G8" s="698"/>
      <c r="H8" s="697"/>
      <c r="I8" s="697"/>
      <c r="J8" s="697"/>
      <c r="K8" s="693"/>
      <c r="L8" s="693"/>
      <c r="M8" s="698"/>
      <c r="N8" s="698"/>
      <c r="O8" s="693"/>
      <c r="P8" s="698"/>
      <c r="Q8" s="698"/>
    </row>
    <row r="9" spans="1:17" ht="18.75" customHeight="1">
      <c r="A9" s="693"/>
      <c r="B9" s="696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697"/>
      <c r="N9" s="693"/>
      <c r="O9" s="693"/>
      <c r="P9" s="693"/>
      <c r="Q9" s="693"/>
    </row>
    <row r="10" spans="1:17" ht="18.75" customHeight="1">
      <c r="A10" s="693"/>
      <c r="B10" s="696"/>
      <c r="C10" s="693"/>
      <c r="D10" s="693"/>
      <c r="E10" s="693"/>
      <c r="F10" s="693"/>
      <c r="G10" s="693"/>
      <c r="H10" s="693"/>
      <c r="I10" s="693"/>
      <c r="J10" s="693"/>
      <c r="K10" s="693"/>
      <c r="L10" s="693"/>
      <c r="M10" s="697"/>
      <c r="N10" s="693"/>
      <c r="O10" s="693"/>
      <c r="P10" s="693"/>
      <c r="Q10" s="693"/>
    </row>
    <row r="11" spans="1:17" ht="18.75" customHeight="1">
      <c r="A11" s="693"/>
      <c r="B11" s="694" t="s">
        <v>786</v>
      </c>
      <c r="C11" s="1265" t="s">
        <v>810</v>
      </c>
      <c r="D11" s="1265"/>
      <c r="E11" s="1265"/>
      <c r="F11" s="1265"/>
      <c r="G11" s="1265"/>
      <c r="H11" s="1265"/>
      <c r="I11" s="1265"/>
      <c r="J11" s="1265"/>
      <c r="K11" s="1265"/>
      <c r="L11" s="693"/>
      <c r="M11" s="698"/>
      <c r="N11" s="1265"/>
      <c r="O11" s="1264"/>
      <c r="P11" s="1264"/>
      <c r="Q11" s="1264"/>
    </row>
    <row r="12" spans="1:17" ht="18.75" customHeight="1">
      <c r="A12" s="693"/>
      <c r="B12" s="694"/>
      <c r="C12" s="1265"/>
      <c r="D12" s="1265"/>
      <c r="E12" s="1265"/>
      <c r="F12" s="1265"/>
      <c r="G12" s="1265"/>
      <c r="H12" s="1265"/>
      <c r="I12" s="1265"/>
      <c r="J12" s="1265"/>
      <c r="K12" s="1265"/>
      <c r="L12" s="693"/>
      <c r="M12" s="698"/>
      <c r="N12" s="1265"/>
      <c r="O12" s="1264"/>
      <c r="P12" s="1264"/>
      <c r="Q12" s="1264"/>
    </row>
    <row r="13" spans="1:17" ht="18.75" customHeight="1">
      <c r="A13" s="693"/>
      <c r="B13" s="694"/>
      <c r="C13" s="699"/>
      <c r="D13" s="699"/>
      <c r="E13" s="699"/>
      <c r="F13" s="699"/>
      <c r="G13" s="699"/>
      <c r="H13" s="699"/>
      <c r="I13" s="699"/>
      <c r="J13" s="699"/>
      <c r="K13" s="699"/>
      <c r="L13" s="693"/>
      <c r="M13" s="698"/>
      <c r="N13" s="699"/>
      <c r="O13" s="699"/>
      <c r="P13" s="699"/>
      <c r="Q13" s="699"/>
    </row>
    <row r="14" spans="1:17" ht="18.75" customHeight="1">
      <c r="A14" s="693"/>
      <c r="B14" s="694"/>
      <c r="C14" s="699"/>
      <c r="D14" s="699"/>
      <c r="E14" s="699"/>
      <c r="F14" s="699"/>
      <c r="G14" s="699"/>
      <c r="H14" s="699"/>
      <c r="I14" s="699"/>
      <c r="J14" s="699"/>
      <c r="K14" s="699"/>
      <c r="L14" s="693"/>
      <c r="M14" s="698"/>
      <c r="N14" s="699"/>
      <c r="O14" s="699"/>
      <c r="P14" s="699"/>
      <c r="Q14" s="699"/>
    </row>
    <row r="15" spans="1:17" ht="18.75" customHeight="1">
      <c r="A15" s="693"/>
      <c r="B15" s="694" t="s">
        <v>787</v>
      </c>
      <c r="C15" s="697" t="str">
        <f>갑지!AE12</f>
        <v>파주시 운정 자동집하시설 운영비용 원가산정용역</v>
      </c>
      <c r="D15" s="699"/>
      <c r="E15" s="699"/>
      <c r="F15" s="699"/>
      <c r="G15" s="699"/>
      <c r="H15" s="699"/>
      <c r="I15" s="699"/>
      <c r="J15" s="699"/>
      <c r="K15" s="699"/>
      <c r="L15" s="693"/>
      <c r="M15" s="698"/>
      <c r="N15" s="697"/>
      <c r="O15" s="699"/>
      <c r="P15" s="699"/>
      <c r="Q15" s="699"/>
    </row>
    <row r="16" spans="1:17" ht="18.75" customHeight="1">
      <c r="A16" s="693"/>
      <c r="B16" s="696"/>
      <c r="C16" s="697"/>
      <c r="D16" s="697"/>
      <c r="E16" s="697"/>
      <c r="F16" s="697"/>
      <c r="G16" s="697"/>
      <c r="H16" s="697"/>
      <c r="I16" s="697"/>
      <c r="J16" s="697"/>
      <c r="K16" s="697"/>
      <c r="L16" s="693"/>
      <c r="M16" s="693"/>
      <c r="N16" s="697"/>
      <c r="O16" s="697"/>
      <c r="P16" s="697"/>
      <c r="Q16" s="697"/>
    </row>
    <row r="17" spans="1:17" ht="18.75" customHeight="1">
      <c r="A17" s="693"/>
      <c r="B17" s="694"/>
      <c r="C17" s="700"/>
      <c r="D17" s="701"/>
      <c r="E17" s="702"/>
      <c r="F17" s="703"/>
      <c r="G17" s="704"/>
      <c r="H17" s="705"/>
      <c r="I17" s="705"/>
      <c r="J17" s="705"/>
      <c r="K17" s="705"/>
      <c r="L17" s="693"/>
      <c r="M17" s="698"/>
      <c r="N17" s="700"/>
      <c r="O17" s="701"/>
      <c r="P17" s="702"/>
      <c r="Q17" s="703"/>
    </row>
    <row r="18" spans="1:17" ht="18.75" customHeight="1">
      <c r="A18" s="693"/>
      <c r="B18" s="694"/>
      <c r="C18" s="700"/>
      <c r="D18" s="701"/>
      <c r="E18" s="702"/>
      <c r="F18" s="703"/>
      <c r="G18" s="704"/>
      <c r="H18" s="705"/>
      <c r="I18" s="705"/>
      <c r="J18" s="705"/>
      <c r="K18" s="705"/>
      <c r="L18" s="693"/>
      <c r="M18" s="698"/>
      <c r="N18" s="700"/>
      <c r="O18" s="701"/>
      <c r="P18" s="702"/>
      <c r="Q18" s="703"/>
    </row>
    <row r="19" spans="1:17" ht="18.75" customHeight="1">
      <c r="A19" s="693"/>
      <c r="B19" s="696"/>
      <c r="C19" s="706"/>
      <c r="D19" s="707"/>
      <c r="E19" s="708"/>
      <c r="F19" s="708"/>
      <c r="G19" s="708"/>
      <c r="H19" s="707"/>
      <c r="I19" s="707"/>
      <c r="J19" s="707"/>
      <c r="K19" s="707"/>
      <c r="L19" s="693"/>
      <c r="M19" s="693"/>
      <c r="N19" s="706"/>
      <c r="O19" s="707"/>
      <c r="P19" s="708"/>
      <c r="Q19" s="708"/>
    </row>
    <row r="20" spans="1:17" ht="18.75" customHeight="1">
      <c r="A20" s="693"/>
      <c r="B20" s="694" t="s">
        <v>788</v>
      </c>
      <c r="C20" s="695" t="s">
        <v>845</v>
      </c>
      <c r="D20" s="699"/>
      <c r="E20" s="693"/>
      <c r="F20" s="693"/>
      <c r="G20" s="693"/>
      <c r="H20" s="693"/>
      <c r="I20" s="693"/>
      <c r="J20" s="693"/>
      <c r="K20" s="693"/>
      <c r="L20" s="693"/>
      <c r="M20" s="695"/>
      <c r="N20" s="695"/>
      <c r="O20" s="699"/>
      <c r="P20" s="693"/>
      <c r="Q20" s="693"/>
    </row>
    <row r="21" spans="1:17" ht="18.75" customHeight="1">
      <c r="A21" s="693"/>
      <c r="B21" s="696"/>
      <c r="C21" s="699"/>
      <c r="D21" s="699"/>
      <c r="E21" s="699"/>
      <c r="F21" s="699"/>
      <c r="G21" s="699"/>
      <c r="H21" s="699"/>
      <c r="I21" s="699"/>
      <c r="J21" s="699"/>
      <c r="K21" s="699"/>
      <c r="L21" s="693"/>
      <c r="M21" s="697"/>
      <c r="N21" s="699"/>
      <c r="O21" s="699"/>
      <c r="P21" s="699"/>
      <c r="Q21" s="699"/>
    </row>
    <row r="22" spans="1:17" ht="18.75" customHeight="1">
      <c r="A22" s="693"/>
      <c r="B22" s="694" t="s">
        <v>839</v>
      </c>
      <c r="C22" s="698" t="s">
        <v>846</v>
      </c>
      <c r="D22" s="693"/>
      <c r="E22" s="698"/>
      <c r="F22" s="698"/>
      <c r="G22" s="697"/>
      <c r="H22" s="697"/>
      <c r="I22" s="697"/>
      <c r="J22" s="697"/>
      <c r="K22" s="693"/>
      <c r="L22" s="693"/>
      <c r="M22" s="698"/>
      <c r="N22" s="698"/>
      <c r="O22" s="693"/>
      <c r="P22" s="698"/>
      <c r="Q22" s="698"/>
    </row>
    <row r="23" spans="1:17" ht="18.75" customHeight="1">
      <c r="A23" s="693"/>
      <c r="B23" s="709"/>
      <c r="C23" s="697"/>
      <c r="D23" s="693"/>
      <c r="E23" s="693"/>
      <c r="F23" s="693"/>
      <c r="G23" s="693"/>
      <c r="H23" s="693"/>
      <c r="I23" s="693"/>
      <c r="J23" s="693"/>
      <c r="K23" s="693"/>
      <c r="L23" s="693"/>
      <c r="M23" s="693"/>
      <c r="N23" s="693"/>
      <c r="O23" s="693"/>
      <c r="P23" s="693"/>
      <c r="Q23" s="693"/>
    </row>
    <row r="24" spans="1:17" ht="18.75" customHeight="1">
      <c r="A24" s="693"/>
      <c r="B24" s="709" t="s">
        <v>789</v>
      </c>
      <c r="C24" s="697" t="s">
        <v>1235</v>
      </c>
      <c r="D24" s="693"/>
      <c r="E24" s="693"/>
      <c r="F24" s="693"/>
      <c r="G24" s="693"/>
      <c r="H24" s="693"/>
      <c r="I24" s="693"/>
      <c r="J24" s="693"/>
      <c r="K24" s="693"/>
      <c r="L24" s="693"/>
      <c r="M24" s="693"/>
      <c r="N24" s="693"/>
      <c r="O24" s="693"/>
      <c r="P24" s="693"/>
      <c r="Q24" s="693"/>
    </row>
    <row r="25" spans="1:17" ht="18.75" customHeight="1">
      <c r="A25" s="693"/>
      <c r="B25" s="709" t="s">
        <v>843</v>
      </c>
      <c r="C25" s="697" t="s">
        <v>1236</v>
      </c>
      <c r="D25" s="693"/>
      <c r="E25" s="693"/>
      <c r="F25" s="693"/>
      <c r="G25" s="693"/>
      <c r="H25" s="693"/>
      <c r="I25" s="693"/>
      <c r="J25" s="693"/>
      <c r="K25" s="693"/>
      <c r="L25" s="693"/>
      <c r="M25" s="693"/>
      <c r="N25" s="693"/>
      <c r="O25" s="693"/>
      <c r="P25" s="693"/>
      <c r="Q25" s="693"/>
    </row>
    <row r="26" spans="1:17" ht="18.75" customHeight="1">
      <c r="A26" s="693"/>
      <c r="B26" s="709" t="s">
        <v>790</v>
      </c>
      <c r="C26" s="697" t="s">
        <v>1237</v>
      </c>
      <c r="D26" s="693"/>
      <c r="E26" s="693"/>
      <c r="F26" s="693"/>
      <c r="G26" s="693"/>
      <c r="H26" s="693"/>
      <c r="I26" s="693"/>
      <c r="J26" s="693"/>
      <c r="K26" s="693"/>
      <c r="L26" s="693"/>
      <c r="M26" s="693"/>
      <c r="N26" s="693"/>
      <c r="O26" s="693"/>
      <c r="P26" s="693"/>
      <c r="Q26" s="693"/>
    </row>
    <row r="27" spans="1:17" ht="18.75" customHeight="1">
      <c r="A27" s="693"/>
      <c r="B27" s="693"/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3"/>
      <c r="N27" s="693"/>
      <c r="O27" s="693"/>
      <c r="P27" s="693"/>
      <c r="Q27" s="693"/>
    </row>
    <row r="28" spans="1:17" ht="18.75" customHeight="1">
      <c r="A28" s="693"/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3"/>
      <c r="O28" s="693"/>
      <c r="P28" s="693"/>
      <c r="Q28" s="693"/>
    </row>
    <row r="29" spans="1:17" ht="18.75" customHeight="1">
      <c r="A29" s="693"/>
      <c r="B29" s="693"/>
      <c r="C29" s="710"/>
      <c r="D29" s="693"/>
      <c r="E29" s="693"/>
      <c r="F29" s="693"/>
      <c r="G29" s="693"/>
      <c r="H29" s="693"/>
      <c r="I29" s="693"/>
      <c r="J29" s="693"/>
      <c r="K29" s="693"/>
      <c r="L29" s="693"/>
      <c r="M29" s="693"/>
      <c r="N29" s="710"/>
      <c r="O29" s="693"/>
      <c r="P29" s="693"/>
      <c r="Q29" s="693"/>
    </row>
    <row r="30" spans="1:17" ht="13.5">
      <c r="A30" s="693"/>
      <c r="B30" s="693"/>
      <c r="C30" s="693"/>
      <c r="D30" s="693"/>
      <c r="E30" s="693"/>
      <c r="F30" s="693"/>
      <c r="G30" s="693"/>
      <c r="H30" s="693"/>
      <c r="I30" s="693"/>
      <c r="J30" s="693"/>
      <c r="K30" s="693"/>
      <c r="L30" s="693"/>
      <c r="M30" s="693"/>
      <c r="N30" s="693"/>
      <c r="O30" s="693"/>
      <c r="P30" s="693"/>
      <c r="Q30" s="693"/>
    </row>
    <row r="31" spans="1:17" ht="13.5">
      <c r="A31" s="693"/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3"/>
      <c r="M31" s="693"/>
      <c r="N31" s="693"/>
      <c r="O31" s="693"/>
      <c r="P31" s="693"/>
      <c r="Q31" s="693"/>
    </row>
    <row r="32" spans="1:17" ht="13.5">
      <c r="A32" s="693"/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</row>
    <row r="33" spans="1:17" ht="13.5">
      <c r="A33" s="693"/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  <c r="O33" s="693"/>
      <c r="P33" s="693"/>
      <c r="Q33" s="693"/>
    </row>
    <row r="34" spans="1:17" ht="13.5">
      <c r="A34" s="693"/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</row>
    <row r="35" spans="1:17" ht="13.5">
      <c r="A35" s="693"/>
      <c r="B35" s="693"/>
      <c r="C35" s="693"/>
      <c r="D35" s="693"/>
      <c r="E35" s="693"/>
      <c r="F35" s="693"/>
      <c r="G35" s="693"/>
      <c r="H35" s="693"/>
      <c r="I35" s="693"/>
      <c r="J35" s="693"/>
      <c r="K35" s="693"/>
      <c r="L35" s="693"/>
      <c r="M35" s="693"/>
      <c r="N35" s="693"/>
      <c r="O35" s="693"/>
      <c r="P35" s="693"/>
      <c r="Q35" s="693"/>
    </row>
    <row r="36" spans="1:17" ht="13.5">
      <c r="A36" s="693"/>
      <c r="B36" s="693"/>
      <c r="C36" s="693"/>
      <c r="D36" s="693"/>
      <c r="E36" s="693"/>
      <c r="F36" s="693"/>
      <c r="G36" s="693"/>
      <c r="H36" s="693"/>
      <c r="I36" s="693"/>
      <c r="J36" s="693"/>
      <c r="K36" s="693"/>
      <c r="L36" s="693"/>
      <c r="M36" s="693"/>
      <c r="N36" s="693"/>
      <c r="O36" s="693"/>
      <c r="P36" s="693"/>
      <c r="Q36" s="693"/>
    </row>
    <row r="37" spans="1:17" ht="13.5">
      <c r="A37" s="693"/>
      <c r="B37" s="693"/>
      <c r="C37" s="693"/>
      <c r="D37" s="693"/>
      <c r="E37" s="693"/>
      <c r="F37" s="693"/>
      <c r="G37" s="693"/>
      <c r="H37" s="693"/>
      <c r="I37" s="693"/>
      <c r="J37" s="693"/>
      <c r="K37" s="693"/>
      <c r="L37" s="693"/>
      <c r="M37" s="693"/>
      <c r="N37" s="693"/>
      <c r="O37" s="693"/>
      <c r="P37" s="693"/>
      <c r="Q37" s="693"/>
    </row>
    <row r="38" spans="1:17" ht="13.5">
      <c r="A38" s="693"/>
      <c r="B38" s="693"/>
      <c r="C38" s="693"/>
      <c r="D38" s="693"/>
      <c r="E38" s="693"/>
      <c r="F38" s="693"/>
      <c r="G38" s="693"/>
      <c r="H38" s="693"/>
      <c r="I38" s="693"/>
      <c r="J38" s="693"/>
      <c r="K38" s="693"/>
      <c r="L38" s="693"/>
      <c r="M38" s="693"/>
      <c r="N38" s="693"/>
      <c r="O38" s="693"/>
      <c r="P38" s="693"/>
      <c r="Q38" s="693"/>
    </row>
    <row r="39" spans="1:17" ht="13.5">
      <c r="A39" s="693"/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3"/>
      <c r="N39" s="693"/>
      <c r="O39" s="693"/>
      <c r="P39" s="693"/>
      <c r="Q39" s="693"/>
    </row>
    <row r="40" spans="1:17" ht="13.5">
      <c r="A40" s="693"/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3"/>
      <c r="O40" s="693"/>
      <c r="P40" s="693"/>
      <c r="Q40" s="693"/>
    </row>
    <row r="41" spans="1:17" ht="13.5">
      <c r="A41" s="693"/>
      <c r="B41" s="693"/>
      <c r="C41" s="693"/>
      <c r="D41" s="693"/>
      <c r="E41" s="693"/>
      <c r="F41" s="693"/>
      <c r="G41" s="693"/>
      <c r="H41" s="693"/>
      <c r="I41" s="693"/>
      <c r="J41" s="693"/>
      <c r="K41" s="693"/>
      <c r="L41" s="693"/>
      <c r="M41" s="693"/>
      <c r="N41" s="693"/>
      <c r="O41" s="693"/>
      <c r="P41" s="693"/>
      <c r="Q41" s="693"/>
    </row>
    <row r="42" spans="1:17" ht="13.5">
      <c r="A42" s="693"/>
      <c r="B42" s="693"/>
      <c r="C42" s="693"/>
      <c r="D42" s="693"/>
      <c r="E42" s="693"/>
      <c r="F42" s="693"/>
      <c r="G42" s="693"/>
      <c r="H42" s="693"/>
      <c r="I42" s="693"/>
      <c r="J42" s="693"/>
      <c r="K42" s="693"/>
      <c r="L42" s="693"/>
      <c r="M42" s="693"/>
      <c r="N42" s="693"/>
      <c r="O42" s="693"/>
      <c r="P42" s="693"/>
      <c r="Q42" s="693"/>
    </row>
    <row r="43" spans="1:17" ht="13.5">
      <c r="A43" s="693"/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3"/>
      <c r="N43" s="693"/>
      <c r="O43" s="693"/>
      <c r="P43" s="693"/>
      <c r="Q43" s="693"/>
    </row>
    <row r="44" spans="1:17" ht="13.5">
      <c r="A44" s="693"/>
      <c r="B44" s="693"/>
      <c r="C44" s="693"/>
      <c r="D44" s="693"/>
      <c r="E44" s="693"/>
      <c r="F44" s="693"/>
      <c r="G44" s="693"/>
      <c r="H44" s="693"/>
      <c r="I44" s="693"/>
      <c r="J44" s="693"/>
      <c r="K44" s="693"/>
      <c r="L44" s="693"/>
      <c r="M44" s="693"/>
      <c r="N44" s="693"/>
      <c r="O44" s="693"/>
      <c r="P44" s="693"/>
      <c r="Q44" s="693"/>
    </row>
    <row r="45" spans="1:17" ht="13.5">
      <c r="A45" s="693"/>
      <c r="B45" s="693"/>
      <c r="C45" s="693"/>
      <c r="D45" s="693"/>
      <c r="E45" s="693"/>
      <c r="F45" s="693"/>
      <c r="G45" s="693"/>
      <c r="H45" s="693"/>
      <c r="I45" s="693"/>
      <c r="J45" s="693"/>
      <c r="K45" s="693"/>
      <c r="L45" s="693"/>
      <c r="M45" s="693"/>
      <c r="N45" s="693"/>
      <c r="O45" s="693"/>
      <c r="P45" s="693"/>
      <c r="Q45" s="693"/>
    </row>
    <row r="46" spans="1:17" ht="13.5">
      <c r="A46" s="693"/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3"/>
      <c r="N46" s="693"/>
      <c r="O46" s="693"/>
      <c r="P46" s="693"/>
      <c r="Q46" s="693"/>
    </row>
    <row r="47" spans="1:17" ht="13.5">
      <c r="A47" s="693"/>
      <c r="B47" s="693"/>
      <c r="C47" s="693"/>
      <c r="D47" s="693"/>
      <c r="E47" s="693"/>
      <c r="F47" s="693"/>
      <c r="G47" s="693"/>
      <c r="H47" s="693"/>
      <c r="I47" s="693"/>
      <c r="J47" s="693"/>
      <c r="K47" s="693"/>
      <c r="L47" s="693"/>
      <c r="M47" s="693"/>
      <c r="N47" s="693"/>
      <c r="O47" s="693"/>
      <c r="P47" s="693"/>
      <c r="Q47" s="693"/>
    </row>
    <row r="48" spans="1:17" ht="13.5">
      <c r="A48" s="693"/>
      <c r="B48" s="693"/>
      <c r="C48" s="693"/>
      <c r="D48" s="693"/>
      <c r="E48" s="693"/>
      <c r="F48" s="693"/>
      <c r="G48" s="693"/>
      <c r="H48" s="693"/>
      <c r="I48" s="693"/>
      <c r="J48" s="693"/>
      <c r="K48" s="693"/>
      <c r="L48" s="693"/>
      <c r="M48" s="693"/>
      <c r="N48" s="693"/>
      <c r="O48" s="693"/>
      <c r="P48" s="693"/>
      <c r="Q48" s="693"/>
    </row>
    <row r="49" spans="1:17" ht="13.5">
      <c r="A49" s="693"/>
      <c r="B49" s="693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</row>
    <row r="50" spans="1:17" ht="13.5">
      <c r="A50" s="693"/>
      <c r="B50" s="693"/>
      <c r="C50" s="693"/>
      <c r="D50" s="693"/>
      <c r="E50" s="693"/>
      <c r="F50" s="693"/>
      <c r="G50" s="693"/>
      <c r="H50" s="693"/>
      <c r="I50" s="693"/>
      <c r="J50" s="693"/>
      <c r="K50" s="693"/>
      <c r="L50" s="693"/>
      <c r="M50" s="693"/>
      <c r="N50" s="693"/>
      <c r="O50" s="693"/>
      <c r="P50" s="693"/>
      <c r="Q50" s="693"/>
    </row>
    <row r="51" spans="1:17" ht="13.5">
      <c r="A51" s="693"/>
      <c r="B51" s="693"/>
      <c r="C51" s="693"/>
      <c r="D51" s="693"/>
      <c r="E51" s="693"/>
      <c r="F51" s="693"/>
      <c r="G51" s="693"/>
      <c r="H51" s="693"/>
      <c r="I51" s="693"/>
      <c r="J51" s="693"/>
      <c r="K51" s="693"/>
      <c r="L51" s="693"/>
      <c r="M51" s="693"/>
      <c r="N51" s="693"/>
      <c r="O51" s="693"/>
      <c r="P51" s="693"/>
      <c r="Q51" s="693"/>
    </row>
    <row r="52" spans="1:17" ht="13.5">
      <c r="A52" s="693"/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3"/>
      <c r="N52" s="693"/>
      <c r="O52" s="693"/>
      <c r="P52" s="693"/>
      <c r="Q52" s="693"/>
    </row>
    <row r="53" spans="1:17" ht="13.5">
      <c r="A53" s="693"/>
      <c r="B53" s="693"/>
      <c r="C53" s="693"/>
      <c r="D53" s="693"/>
      <c r="E53" s="693"/>
      <c r="F53" s="693"/>
      <c r="G53" s="693"/>
      <c r="H53" s="693"/>
      <c r="I53" s="693"/>
      <c r="J53" s="693"/>
      <c r="K53" s="693"/>
      <c r="L53" s="693"/>
      <c r="M53" s="693"/>
      <c r="N53" s="693"/>
      <c r="O53" s="693"/>
      <c r="P53" s="693"/>
      <c r="Q53" s="693"/>
    </row>
    <row r="54" spans="1:17" ht="13.5">
      <c r="A54" s="693"/>
      <c r="B54" s="693"/>
      <c r="C54" s="693"/>
      <c r="D54" s="693"/>
      <c r="E54" s="693"/>
      <c r="F54" s="693"/>
      <c r="G54" s="693"/>
      <c r="H54" s="693"/>
      <c r="I54" s="693"/>
      <c r="J54" s="693"/>
      <c r="K54" s="693"/>
      <c r="L54" s="693"/>
      <c r="M54" s="693"/>
      <c r="N54" s="693"/>
      <c r="O54" s="693"/>
      <c r="P54" s="693"/>
      <c r="Q54" s="693"/>
    </row>
    <row r="55" spans="1:17" ht="13.5">
      <c r="A55" s="693"/>
      <c r="B55" s="693"/>
      <c r="C55" s="693"/>
      <c r="D55" s="693"/>
      <c r="E55" s="693"/>
      <c r="F55" s="693"/>
      <c r="G55" s="693"/>
      <c r="H55" s="693"/>
      <c r="I55" s="693"/>
      <c r="J55" s="693"/>
      <c r="K55" s="693"/>
      <c r="L55" s="693"/>
      <c r="M55" s="693"/>
      <c r="N55" s="693"/>
      <c r="O55" s="693"/>
      <c r="P55" s="693"/>
      <c r="Q55" s="693"/>
    </row>
    <row r="56" spans="1:17" ht="13.5">
      <c r="A56" s="693"/>
      <c r="B56" s="693"/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3"/>
      <c r="N56" s="693"/>
      <c r="O56" s="693"/>
      <c r="P56" s="693"/>
      <c r="Q56" s="693"/>
    </row>
    <row r="57" spans="1:17" ht="13.5">
      <c r="A57" s="693"/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3"/>
      <c r="P57" s="693"/>
      <c r="Q57" s="693"/>
    </row>
    <row r="58" spans="1:17" ht="13.5">
      <c r="A58" s="693"/>
      <c r="B58" s="693"/>
      <c r="C58" s="693"/>
      <c r="D58" s="693"/>
      <c r="E58" s="693"/>
      <c r="F58" s="693"/>
      <c r="G58" s="693"/>
      <c r="H58" s="693"/>
      <c r="I58" s="693"/>
      <c r="J58" s="693"/>
      <c r="K58" s="693"/>
      <c r="L58" s="693"/>
      <c r="M58" s="693"/>
      <c r="N58" s="693"/>
      <c r="O58" s="693"/>
      <c r="P58" s="693"/>
      <c r="Q58" s="693"/>
    </row>
    <row r="59" spans="1:17" ht="13.5">
      <c r="A59" s="693"/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3"/>
      <c r="N59" s="693"/>
      <c r="O59" s="693"/>
      <c r="P59" s="693"/>
      <c r="Q59" s="693"/>
    </row>
    <row r="60" spans="1:17" ht="13.5">
      <c r="A60" s="693"/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3"/>
      <c r="N60" s="693"/>
      <c r="O60" s="693"/>
      <c r="P60" s="693"/>
      <c r="Q60" s="693"/>
    </row>
    <row r="61" spans="1:17" ht="13.5">
      <c r="A61" s="693"/>
      <c r="B61" s="693"/>
      <c r="C61" s="693"/>
      <c r="D61" s="693"/>
      <c r="E61" s="693"/>
      <c r="F61" s="693"/>
      <c r="G61" s="693"/>
      <c r="H61" s="693"/>
      <c r="I61" s="693"/>
      <c r="J61" s="693"/>
      <c r="K61" s="693"/>
      <c r="L61" s="693"/>
      <c r="M61" s="693"/>
      <c r="N61" s="693"/>
      <c r="O61" s="693"/>
      <c r="P61" s="693"/>
      <c r="Q61" s="693"/>
    </row>
    <row r="62" spans="1:17" ht="13.5">
      <c r="A62" s="693"/>
      <c r="B62" s="693"/>
      <c r="C62" s="693"/>
      <c r="D62" s="693"/>
      <c r="E62" s="693"/>
      <c r="F62" s="693"/>
      <c r="G62" s="693"/>
      <c r="H62" s="693"/>
      <c r="I62" s="693"/>
      <c r="J62" s="693"/>
      <c r="K62" s="693"/>
      <c r="L62" s="693"/>
      <c r="M62" s="693"/>
      <c r="N62" s="693"/>
      <c r="O62" s="693"/>
      <c r="P62" s="693"/>
      <c r="Q62" s="693"/>
    </row>
    <row r="63" spans="1:17" ht="13.5">
      <c r="A63" s="693"/>
      <c r="B63" s="693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3"/>
      <c r="N63" s="693"/>
      <c r="O63" s="693"/>
      <c r="P63" s="693"/>
      <c r="Q63" s="693"/>
    </row>
    <row r="64" spans="1:17" ht="13.5">
      <c r="A64" s="693"/>
      <c r="B64" s="693"/>
      <c r="C64" s="693"/>
      <c r="D64" s="693"/>
      <c r="E64" s="693"/>
      <c r="F64" s="693"/>
      <c r="G64" s="693"/>
      <c r="H64" s="693"/>
      <c r="I64" s="693"/>
      <c r="J64" s="693"/>
      <c r="K64" s="693"/>
      <c r="L64" s="693"/>
      <c r="M64" s="693"/>
      <c r="N64" s="693"/>
      <c r="O64" s="693"/>
      <c r="P64" s="693"/>
      <c r="Q64" s="693"/>
    </row>
    <row r="65" spans="1:17" ht="13.5">
      <c r="A65" s="693"/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3"/>
      <c r="N65" s="693"/>
      <c r="O65" s="693"/>
      <c r="P65" s="693"/>
      <c r="Q65" s="693"/>
    </row>
    <row r="66" spans="1:17" ht="13.5">
      <c r="A66" s="693"/>
      <c r="B66" s="693"/>
      <c r="C66" s="693"/>
      <c r="D66" s="693"/>
      <c r="E66" s="693"/>
      <c r="F66" s="693"/>
      <c r="G66" s="693"/>
      <c r="H66" s="693"/>
      <c r="I66" s="693"/>
      <c r="J66" s="693"/>
      <c r="K66" s="693"/>
      <c r="L66" s="693"/>
      <c r="M66" s="693"/>
      <c r="N66" s="693"/>
      <c r="O66" s="693"/>
      <c r="P66" s="693"/>
      <c r="Q66" s="693"/>
    </row>
    <row r="67" spans="1:17" ht="13.5">
      <c r="A67" s="693"/>
      <c r="B67" s="693"/>
      <c r="C67" s="693"/>
      <c r="D67" s="693"/>
      <c r="E67" s="693"/>
      <c r="F67" s="693"/>
      <c r="G67" s="693"/>
      <c r="H67" s="693"/>
      <c r="I67" s="693"/>
      <c r="J67" s="693"/>
      <c r="K67" s="693"/>
      <c r="L67" s="693"/>
      <c r="M67" s="693"/>
      <c r="N67" s="693"/>
      <c r="O67" s="693"/>
      <c r="P67" s="693"/>
      <c r="Q67" s="693"/>
    </row>
    <row r="68" spans="1:17" ht="13.5">
      <c r="A68" s="693"/>
      <c r="B68" s="693"/>
      <c r="C68" s="693"/>
      <c r="D68" s="693"/>
      <c r="E68" s="693"/>
      <c r="F68" s="693"/>
      <c r="G68" s="693"/>
      <c r="H68" s="693"/>
      <c r="I68" s="693"/>
      <c r="J68" s="693"/>
      <c r="K68" s="693"/>
      <c r="L68" s="693"/>
      <c r="M68" s="693"/>
      <c r="N68" s="693"/>
      <c r="O68" s="693"/>
      <c r="P68" s="693"/>
      <c r="Q68" s="693"/>
    </row>
    <row r="69" spans="1:17" ht="13.5">
      <c r="A69" s="693"/>
      <c r="B69" s="693"/>
      <c r="C69" s="693"/>
      <c r="D69" s="693"/>
      <c r="E69" s="693"/>
      <c r="F69" s="693"/>
      <c r="G69" s="693"/>
      <c r="H69" s="693"/>
      <c r="I69" s="693"/>
      <c r="J69" s="693"/>
      <c r="K69" s="693"/>
      <c r="L69" s="693"/>
      <c r="M69" s="693"/>
      <c r="N69" s="693"/>
      <c r="O69" s="693"/>
      <c r="P69" s="693"/>
      <c r="Q69" s="693"/>
    </row>
    <row r="70" spans="1:17" ht="13.5">
      <c r="A70" s="693"/>
      <c r="B70" s="693"/>
      <c r="C70" s="693"/>
      <c r="D70" s="693"/>
      <c r="E70" s="693"/>
      <c r="F70" s="693"/>
      <c r="G70" s="693"/>
      <c r="H70" s="693"/>
      <c r="I70" s="693"/>
      <c r="J70" s="693"/>
      <c r="K70" s="693"/>
      <c r="L70" s="693"/>
      <c r="M70" s="693"/>
      <c r="N70" s="693"/>
      <c r="O70" s="693"/>
      <c r="P70" s="693"/>
      <c r="Q70" s="693"/>
    </row>
    <row r="71" spans="1:17" ht="13.5">
      <c r="A71" s="693"/>
      <c r="B71" s="693"/>
      <c r="C71" s="693"/>
      <c r="D71" s="693"/>
      <c r="E71" s="693"/>
      <c r="F71" s="693"/>
      <c r="G71" s="693"/>
      <c r="H71" s="693"/>
      <c r="I71" s="693"/>
      <c r="J71" s="693"/>
      <c r="K71" s="693"/>
      <c r="L71" s="693"/>
      <c r="M71" s="693"/>
      <c r="N71" s="693"/>
      <c r="O71" s="693"/>
      <c r="P71" s="693"/>
      <c r="Q71" s="693"/>
    </row>
    <row r="72" spans="1:17" ht="13.5">
      <c r="A72" s="693"/>
      <c r="B72" s="693"/>
      <c r="C72" s="693"/>
      <c r="D72" s="693"/>
      <c r="E72" s="693"/>
      <c r="F72" s="693"/>
      <c r="G72" s="693"/>
      <c r="H72" s="693"/>
      <c r="I72" s="693"/>
      <c r="J72" s="693"/>
      <c r="K72" s="693"/>
      <c r="L72" s="693"/>
      <c r="M72" s="693"/>
      <c r="N72" s="693"/>
      <c r="O72" s="693"/>
      <c r="P72" s="693"/>
      <c r="Q72" s="693"/>
    </row>
    <row r="73" spans="1:17" ht="13.5">
      <c r="A73" s="693"/>
      <c r="B73" s="693"/>
      <c r="C73" s="693"/>
      <c r="D73" s="693"/>
      <c r="E73" s="693"/>
      <c r="F73" s="693"/>
      <c r="G73" s="693"/>
      <c r="H73" s="693"/>
      <c r="I73" s="693"/>
      <c r="J73" s="693"/>
      <c r="K73" s="693"/>
      <c r="L73" s="693"/>
      <c r="M73" s="693"/>
      <c r="N73" s="693"/>
      <c r="O73" s="693"/>
      <c r="P73" s="693"/>
      <c r="Q73" s="693"/>
    </row>
    <row r="74" spans="1:17" ht="13.5">
      <c r="A74" s="693"/>
      <c r="B74" s="693"/>
      <c r="C74" s="693"/>
      <c r="D74" s="693"/>
      <c r="E74" s="693"/>
      <c r="F74" s="693"/>
      <c r="G74" s="693"/>
      <c r="H74" s="693"/>
      <c r="I74" s="693"/>
      <c r="J74" s="693"/>
      <c r="K74" s="693"/>
      <c r="L74" s="693"/>
      <c r="M74" s="693"/>
      <c r="N74" s="693"/>
      <c r="O74" s="693"/>
      <c r="P74" s="693"/>
      <c r="Q74" s="693"/>
    </row>
    <row r="75" spans="1:17" ht="13.5">
      <c r="A75" s="693"/>
      <c r="B75" s="693"/>
      <c r="C75" s="693"/>
      <c r="D75" s="693"/>
      <c r="E75" s="693"/>
      <c r="F75" s="693"/>
      <c r="G75" s="693"/>
      <c r="H75" s="693"/>
      <c r="I75" s="693"/>
      <c r="J75" s="693"/>
      <c r="K75" s="693"/>
      <c r="L75" s="693"/>
      <c r="M75" s="693"/>
      <c r="N75" s="693"/>
      <c r="O75" s="693"/>
      <c r="P75" s="693"/>
      <c r="Q75" s="693"/>
    </row>
    <row r="76" spans="1:17" ht="13.5">
      <c r="A76" s="693"/>
      <c r="B76" s="693"/>
      <c r="C76" s="693"/>
      <c r="D76" s="693"/>
      <c r="E76" s="693"/>
      <c r="F76" s="693"/>
      <c r="G76" s="693"/>
      <c r="H76" s="693"/>
      <c r="I76" s="693"/>
      <c r="J76" s="693"/>
      <c r="K76" s="693"/>
      <c r="L76" s="693"/>
      <c r="M76" s="693"/>
      <c r="N76" s="693"/>
      <c r="O76" s="693"/>
      <c r="P76" s="693"/>
      <c r="Q76" s="693"/>
    </row>
    <row r="77" spans="1:17" ht="13.5">
      <c r="A77" s="693"/>
      <c r="B77" s="693"/>
      <c r="C77" s="693"/>
      <c r="D77" s="693"/>
      <c r="E77" s="693"/>
      <c r="F77" s="693"/>
      <c r="G77" s="693"/>
      <c r="H77" s="693"/>
      <c r="I77" s="693"/>
      <c r="J77" s="693"/>
      <c r="K77" s="693"/>
      <c r="L77" s="693"/>
      <c r="M77" s="693"/>
      <c r="N77" s="693"/>
      <c r="O77" s="693"/>
      <c r="P77" s="693"/>
      <c r="Q77" s="693"/>
    </row>
    <row r="78" spans="1:17" ht="13.5">
      <c r="A78" s="693"/>
      <c r="B78" s="693"/>
      <c r="C78" s="693"/>
      <c r="D78" s="693"/>
      <c r="E78" s="693"/>
      <c r="F78" s="693"/>
      <c r="G78" s="693"/>
      <c r="H78" s="693"/>
      <c r="I78" s="693"/>
      <c r="J78" s="693"/>
      <c r="K78" s="693"/>
      <c r="L78" s="693"/>
      <c r="M78" s="693"/>
      <c r="N78" s="693"/>
      <c r="O78" s="693"/>
      <c r="P78" s="693"/>
      <c r="Q78" s="693"/>
    </row>
    <row r="79" spans="1:17" ht="13.5">
      <c r="A79" s="693"/>
      <c r="B79" s="693"/>
      <c r="C79" s="693"/>
      <c r="D79" s="693"/>
      <c r="E79" s="693"/>
      <c r="F79" s="693"/>
      <c r="G79" s="693"/>
      <c r="H79" s="693"/>
      <c r="I79" s="693"/>
      <c r="J79" s="693"/>
      <c r="K79" s="693"/>
      <c r="L79" s="693"/>
      <c r="M79" s="693"/>
      <c r="N79" s="693"/>
      <c r="O79" s="693"/>
      <c r="P79" s="693"/>
      <c r="Q79" s="693"/>
    </row>
    <row r="80" spans="1:17" ht="13.5">
      <c r="A80" s="693"/>
      <c r="B80" s="693"/>
      <c r="C80" s="693"/>
      <c r="D80" s="693"/>
      <c r="E80" s="693"/>
      <c r="F80" s="693"/>
      <c r="G80" s="693"/>
      <c r="H80" s="693"/>
      <c r="I80" s="693"/>
      <c r="J80" s="693"/>
      <c r="K80" s="693"/>
      <c r="L80" s="693"/>
      <c r="M80" s="693"/>
      <c r="N80" s="693"/>
      <c r="O80" s="693"/>
      <c r="P80" s="693"/>
      <c r="Q80" s="693"/>
    </row>
    <row r="81" spans="1:17" ht="13.5">
      <c r="A81" s="693"/>
      <c r="B81" s="693"/>
      <c r="C81" s="693"/>
      <c r="D81" s="693"/>
      <c r="E81" s="693"/>
      <c r="F81" s="693"/>
      <c r="G81" s="693"/>
      <c r="H81" s="693"/>
      <c r="I81" s="693"/>
      <c r="J81" s="693"/>
      <c r="K81" s="693"/>
      <c r="L81" s="693"/>
      <c r="M81" s="693"/>
      <c r="N81" s="693"/>
      <c r="O81" s="693"/>
      <c r="P81" s="693"/>
      <c r="Q81" s="693"/>
    </row>
    <row r="82" spans="1:17" ht="13.5">
      <c r="A82" s="693"/>
      <c r="B82" s="693"/>
      <c r="C82" s="693"/>
      <c r="D82" s="693"/>
      <c r="E82" s="693"/>
      <c r="F82" s="693"/>
      <c r="G82" s="693"/>
      <c r="H82" s="693"/>
      <c r="I82" s="693"/>
      <c r="J82" s="693"/>
      <c r="K82" s="693"/>
      <c r="L82" s="693"/>
      <c r="M82" s="693"/>
      <c r="N82" s="693"/>
      <c r="O82" s="693"/>
      <c r="P82" s="693"/>
      <c r="Q82" s="693"/>
    </row>
    <row r="83" spans="1:17" ht="13.5">
      <c r="A83" s="693"/>
      <c r="B83" s="693"/>
      <c r="C83" s="693"/>
      <c r="D83" s="693"/>
      <c r="E83" s="693"/>
      <c r="F83" s="693"/>
      <c r="G83" s="693"/>
      <c r="H83" s="693"/>
      <c r="I83" s="693"/>
      <c r="J83" s="693"/>
      <c r="K83" s="693"/>
      <c r="L83" s="693"/>
      <c r="M83" s="693"/>
      <c r="N83" s="693"/>
      <c r="O83" s="693"/>
      <c r="P83" s="693"/>
      <c r="Q83" s="693"/>
    </row>
    <row r="84" spans="1:17" ht="13.5">
      <c r="A84" s="693"/>
      <c r="B84" s="693"/>
      <c r="C84" s="693"/>
      <c r="D84" s="693"/>
      <c r="E84" s="693"/>
      <c r="F84" s="693"/>
      <c r="G84" s="693"/>
      <c r="H84" s="693"/>
      <c r="I84" s="693"/>
      <c r="J84" s="693"/>
      <c r="K84" s="693"/>
      <c r="L84" s="693"/>
      <c r="M84" s="693"/>
      <c r="N84" s="693"/>
      <c r="O84" s="693"/>
      <c r="P84" s="693"/>
      <c r="Q84" s="693"/>
    </row>
    <row r="85" spans="1:17" ht="13.5">
      <c r="A85" s="693"/>
      <c r="B85" s="693"/>
      <c r="C85" s="693"/>
      <c r="D85" s="693"/>
      <c r="E85" s="693"/>
      <c r="F85" s="693"/>
      <c r="G85" s="693"/>
      <c r="H85" s="693"/>
      <c r="I85" s="693"/>
      <c r="J85" s="693"/>
      <c r="K85" s="693"/>
      <c r="L85" s="693"/>
      <c r="M85" s="693"/>
      <c r="N85" s="693"/>
      <c r="O85" s="693"/>
      <c r="P85" s="693"/>
      <c r="Q85" s="693"/>
    </row>
    <row r="86" spans="1:17" ht="13.5">
      <c r="A86" s="693"/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3"/>
      <c r="O86" s="693"/>
      <c r="P86" s="693"/>
      <c r="Q86" s="693"/>
    </row>
    <row r="87" spans="1:17" ht="13.5">
      <c r="A87" s="693"/>
      <c r="B87" s="693"/>
      <c r="C87" s="693"/>
      <c r="D87" s="693"/>
      <c r="E87" s="693"/>
      <c r="F87" s="693"/>
      <c r="G87" s="693"/>
      <c r="H87" s="693"/>
      <c r="I87" s="693"/>
      <c r="J87" s="693"/>
      <c r="K87" s="693"/>
      <c r="L87" s="693"/>
      <c r="M87" s="693"/>
      <c r="N87" s="693"/>
      <c r="O87" s="693"/>
      <c r="P87" s="693"/>
      <c r="Q87" s="693"/>
    </row>
    <row r="88" spans="1:17" ht="13.5">
      <c r="A88" s="693"/>
      <c r="B88" s="693"/>
      <c r="C88" s="693"/>
      <c r="D88" s="693"/>
      <c r="E88" s="693"/>
      <c r="F88" s="693"/>
      <c r="G88" s="693"/>
      <c r="H88" s="693"/>
      <c r="I88" s="693"/>
      <c r="J88" s="693"/>
      <c r="K88" s="693"/>
      <c r="L88" s="693"/>
      <c r="M88" s="693"/>
      <c r="N88" s="693"/>
      <c r="O88" s="693"/>
      <c r="P88" s="693"/>
      <c r="Q88" s="693"/>
    </row>
    <row r="89" spans="1:17" ht="13.5">
      <c r="A89" s="693"/>
      <c r="B89" s="693"/>
      <c r="C89" s="693"/>
      <c r="D89" s="693"/>
      <c r="E89" s="693"/>
      <c r="F89" s="693"/>
      <c r="G89" s="693"/>
      <c r="H89" s="693"/>
      <c r="I89" s="693"/>
      <c r="J89" s="693"/>
      <c r="K89" s="693"/>
      <c r="L89" s="693"/>
      <c r="M89" s="693"/>
      <c r="N89" s="693"/>
      <c r="O89" s="693"/>
      <c r="P89" s="693"/>
      <c r="Q89" s="693"/>
    </row>
    <row r="90" spans="1:17" ht="13.5">
      <c r="A90" s="693"/>
      <c r="B90" s="693"/>
      <c r="C90" s="693"/>
      <c r="D90" s="693"/>
      <c r="E90" s="693"/>
      <c r="F90" s="693"/>
      <c r="G90" s="693"/>
      <c r="H90" s="693"/>
      <c r="I90" s="693"/>
      <c r="J90" s="693"/>
      <c r="K90" s="693"/>
      <c r="L90" s="693"/>
      <c r="M90" s="693"/>
      <c r="N90" s="693"/>
      <c r="O90" s="693"/>
      <c r="P90" s="693"/>
      <c r="Q90" s="693"/>
    </row>
    <row r="91" spans="1:17" ht="13.5">
      <c r="A91" s="693"/>
      <c r="B91" s="693"/>
      <c r="C91" s="693"/>
      <c r="D91" s="693"/>
      <c r="E91" s="693"/>
      <c r="F91" s="693"/>
      <c r="G91" s="693"/>
      <c r="H91" s="693"/>
      <c r="I91" s="693"/>
      <c r="J91" s="693"/>
      <c r="K91" s="693"/>
      <c r="L91" s="693"/>
      <c r="M91" s="693"/>
      <c r="N91" s="693"/>
      <c r="O91" s="693"/>
      <c r="P91" s="693"/>
      <c r="Q91" s="693"/>
    </row>
    <row r="92" spans="1:17" ht="13.5">
      <c r="A92" s="693"/>
      <c r="B92" s="693"/>
      <c r="C92" s="693"/>
      <c r="D92" s="693"/>
      <c r="E92" s="693"/>
      <c r="F92" s="693"/>
      <c r="G92" s="693"/>
      <c r="H92" s="693"/>
      <c r="I92" s="693"/>
      <c r="J92" s="693"/>
      <c r="K92" s="693"/>
      <c r="L92" s="693"/>
      <c r="M92" s="693"/>
      <c r="N92" s="693"/>
      <c r="O92" s="693"/>
      <c r="P92" s="693"/>
      <c r="Q92" s="693"/>
    </row>
    <row r="93" spans="1:17" ht="13.5">
      <c r="A93" s="693"/>
      <c r="B93" s="693"/>
      <c r="C93" s="693"/>
      <c r="D93" s="693"/>
      <c r="E93" s="693"/>
      <c r="F93" s="693"/>
      <c r="G93" s="693"/>
      <c r="H93" s="693"/>
      <c r="I93" s="693"/>
      <c r="J93" s="693"/>
      <c r="K93" s="693"/>
      <c r="L93" s="693"/>
      <c r="M93" s="693"/>
      <c r="N93" s="693"/>
      <c r="O93" s="693"/>
      <c r="P93" s="693"/>
      <c r="Q93" s="693"/>
    </row>
    <row r="94" spans="1:17" ht="13.5">
      <c r="A94" s="693"/>
      <c r="B94" s="693"/>
      <c r="C94" s="693"/>
      <c r="D94" s="693"/>
      <c r="E94" s="693"/>
      <c r="F94" s="693"/>
      <c r="G94" s="693"/>
      <c r="H94" s="693"/>
      <c r="I94" s="693"/>
      <c r="J94" s="693"/>
      <c r="K94" s="693"/>
      <c r="L94" s="693"/>
      <c r="M94" s="693"/>
      <c r="N94" s="693"/>
      <c r="O94" s="693"/>
      <c r="P94" s="693"/>
      <c r="Q94" s="693"/>
    </row>
    <row r="95" spans="1:17" ht="13.5">
      <c r="A95" s="693"/>
      <c r="B95" s="693"/>
      <c r="C95" s="693"/>
      <c r="D95" s="693"/>
      <c r="E95" s="693"/>
      <c r="F95" s="693"/>
      <c r="G95" s="693"/>
      <c r="H95" s="693"/>
      <c r="I95" s="693"/>
      <c r="J95" s="693"/>
      <c r="K95" s="693"/>
      <c r="L95" s="693"/>
      <c r="M95" s="693"/>
      <c r="N95" s="693"/>
      <c r="O95" s="693"/>
      <c r="P95" s="693"/>
      <c r="Q95" s="693"/>
    </row>
    <row r="96" spans="1:17" ht="13.5">
      <c r="A96" s="693"/>
      <c r="B96" s="693"/>
      <c r="C96" s="693"/>
      <c r="D96" s="693"/>
      <c r="E96" s="693"/>
      <c r="F96" s="693"/>
      <c r="G96" s="693"/>
      <c r="H96" s="693"/>
      <c r="I96" s="693"/>
      <c r="J96" s="693"/>
      <c r="K96" s="693"/>
      <c r="L96" s="693"/>
      <c r="M96" s="693"/>
      <c r="N96" s="693"/>
      <c r="O96" s="693"/>
      <c r="P96" s="693"/>
      <c r="Q96" s="693"/>
    </row>
    <row r="97" spans="1:17" ht="13.5">
      <c r="A97" s="693"/>
      <c r="B97" s="693"/>
      <c r="C97" s="693"/>
      <c r="D97" s="693"/>
      <c r="E97" s="693"/>
      <c r="F97" s="693"/>
      <c r="G97" s="693"/>
      <c r="H97" s="693"/>
      <c r="I97" s="693"/>
      <c r="J97" s="693"/>
      <c r="K97" s="693"/>
      <c r="L97" s="693"/>
      <c r="M97" s="693"/>
      <c r="N97" s="693"/>
      <c r="O97" s="693"/>
      <c r="P97" s="693"/>
      <c r="Q97" s="693"/>
    </row>
    <row r="98" spans="1:17" ht="13.5">
      <c r="A98" s="693"/>
      <c r="B98" s="693"/>
      <c r="C98" s="693"/>
      <c r="D98" s="693"/>
      <c r="E98" s="693"/>
      <c r="F98" s="693"/>
      <c r="G98" s="693"/>
      <c r="H98" s="693"/>
      <c r="I98" s="693"/>
      <c r="J98" s="693"/>
      <c r="K98" s="693"/>
      <c r="L98" s="693"/>
      <c r="M98" s="693"/>
      <c r="N98" s="693"/>
      <c r="O98" s="693"/>
      <c r="P98" s="693"/>
      <c r="Q98" s="693"/>
    </row>
    <row r="99" spans="1:17" ht="13.5">
      <c r="A99" s="693"/>
      <c r="B99" s="693"/>
      <c r="C99" s="693"/>
      <c r="D99" s="693"/>
      <c r="E99" s="693"/>
      <c r="F99" s="693"/>
      <c r="G99" s="693"/>
      <c r="H99" s="693"/>
      <c r="I99" s="693"/>
      <c r="J99" s="693"/>
      <c r="K99" s="693"/>
      <c r="L99" s="693"/>
      <c r="M99" s="693"/>
      <c r="N99" s="693"/>
      <c r="O99" s="693"/>
      <c r="P99" s="693"/>
      <c r="Q99" s="693"/>
    </row>
    <row r="100" spans="1:17" ht="13.5">
      <c r="A100" s="693"/>
      <c r="B100" s="693"/>
      <c r="C100" s="693"/>
      <c r="D100" s="693"/>
      <c r="E100" s="693"/>
      <c r="F100" s="693"/>
      <c r="G100" s="693"/>
      <c r="H100" s="693"/>
      <c r="I100" s="693"/>
      <c r="J100" s="693"/>
      <c r="K100" s="693"/>
      <c r="L100" s="693"/>
      <c r="M100" s="693"/>
      <c r="N100" s="693"/>
      <c r="O100" s="693"/>
      <c r="P100" s="693"/>
      <c r="Q100" s="693"/>
    </row>
    <row r="101" spans="1:17" ht="13.5">
      <c r="A101" s="693"/>
      <c r="B101" s="693"/>
      <c r="C101" s="693"/>
      <c r="D101" s="693"/>
      <c r="E101" s="693"/>
      <c r="F101" s="693"/>
      <c r="G101" s="693"/>
      <c r="H101" s="693"/>
      <c r="I101" s="693"/>
      <c r="J101" s="693"/>
      <c r="K101" s="693"/>
      <c r="L101" s="693"/>
      <c r="M101" s="693"/>
      <c r="N101" s="693"/>
      <c r="O101" s="693"/>
      <c r="P101" s="693"/>
      <c r="Q101" s="693"/>
    </row>
    <row r="102" spans="1:17" ht="13.5">
      <c r="A102" s="693"/>
      <c r="B102" s="693"/>
      <c r="C102" s="693"/>
      <c r="D102" s="693"/>
      <c r="E102" s="693"/>
      <c r="F102" s="693"/>
      <c r="G102" s="693"/>
      <c r="H102" s="693"/>
      <c r="I102" s="693"/>
      <c r="J102" s="693"/>
      <c r="K102" s="693"/>
      <c r="L102" s="693"/>
      <c r="M102" s="693"/>
      <c r="N102" s="693"/>
      <c r="O102" s="693"/>
      <c r="P102" s="693"/>
      <c r="Q102" s="693"/>
    </row>
    <row r="103" spans="1:17" ht="13.5">
      <c r="A103" s="693"/>
      <c r="B103" s="693"/>
      <c r="C103" s="693"/>
      <c r="D103" s="693"/>
      <c r="E103" s="693"/>
      <c r="F103" s="693"/>
      <c r="G103" s="693"/>
      <c r="H103" s="693"/>
      <c r="I103" s="693"/>
      <c r="J103" s="693"/>
      <c r="K103" s="693"/>
      <c r="L103" s="693"/>
      <c r="M103" s="693"/>
      <c r="N103" s="693"/>
      <c r="O103" s="693"/>
      <c r="P103" s="693"/>
      <c r="Q103" s="693"/>
    </row>
    <row r="104" spans="1:17" ht="13.5">
      <c r="A104" s="693"/>
      <c r="B104" s="693"/>
      <c r="C104" s="693"/>
      <c r="D104" s="693"/>
      <c r="E104" s="693"/>
      <c r="F104" s="693"/>
      <c r="G104" s="693"/>
      <c r="H104" s="693"/>
      <c r="I104" s="693"/>
      <c r="J104" s="693"/>
      <c r="K104" s="693"/>
      <c r="L104" s="693"/>
      <c r="M104" s="693"/>
      <c r="N104" s="693"/>
      <c r="O104" s="693"/>
      <c r="P104" s="693"/>
      <c r="Q104" s="693"/>
    </row>
    <row r="105" spans="1:17" ht="13.5">
      <c r="A105" s="693"/>
      <c r="B105" s="693"/>
      <c r="C105" s="693"/>
      <c r="D105" s="693"/>
      <c r="E105" s="693"/>
      <c r="F105" s="693"/>
      <c r="G105" s="693"/>
      <c r="H105" s="693"/>
      <c r="I105" s="693"/>
      <c r="J105" s="693"/>
      <c r="K105" s="693"/>
      <c r="L105" s="693"/>
      <c r="M105" s="693"/>
      <c r="N105" s="693"/>
      <c r="O105" s="693"/>
      <c r="P105" s="693"/>
      <c r="Q105" s="693"/>
    </row>
    <row r="106" spans="1:17" ht="13.5">
      <c r="A106" s="693"/>
      <c r="B106" s="693"/>
      <c r="C106" s="693"/>
      <c r="D106" s="693"/>
      <c r="E106" s="693"/>
      <c r="F106" s="693"/>
      <c r="G106" s="693"/>
      <c r="H106" s="693"/>
      <c r="I106" s="693"/>
      <c r="J106" s="693"/>
      <c r="K106" s="693"/>
      <c r="L106" s="693"/>
      <c r="M106" s="693"/>
      <c r="N106" s="693"/>
      <c r="O106" s="693"/>
      <c r="P106" s="693"/>
      <c r="Q106" s="693"/>
    </row>
    <row r="107" spans="1:17" ht="13.5">
      <c r="A107" s="693"/>
      <c r="B107" s="693"/>
      <c r="C107" s="693"/>
      <c r="D107" s="693"/>
      <c r="E107" s="693"/>
      <c r="F107" s="693"/>
      <c r="G107" s="693"/>
      <c r="H107" s="693"/>
      <c r="I107" s="693"/>
      <c r="J107" s="693"/>
      <c r="K107" s="693"/>
      <c r="L107" s="693"/>
      <c r="M107" s="693"/>
      <c r="N107" s="693"/>
      <c r="O107" s="693"/>
      <c r="P107" s="693"/>
      <c r="Q107" s="693"/>
    </row>
    <row r="108" spans="1:17" ht="13.5">
      <c r="A108" s="693"/>
      <c r="B108" s="693"/>
      <c r="C108" s="693"/>
      <c r="D108" s="693"/>
      <c r="E108" s="693"/>
      <c r="F108" s="693"/>
      <c r="G108" s="693"/>
      <c r="H108" s="693"/>
      <c r="I108" s="693"/>
      <c r="J108" s="693"/>
      <c r="K108" s="693"/>
      <c r="L108" s="693"/>
      <c r="M108" s="693"/>
      <c r="N108" s="693"/>
      <c r="O108" s="693"/>
      <c r="P108" s="693"/>
      <c r="Q108" s="693"/>
    </row>
    <row r="109" spans="1:17" ht="13.5">
      <c r="A109" s="693"/>
      <c r="B109" s="693"/>
      <c r="C109" s="693"/>
      <c r="D109" s="693"/>
      <c r="E109" s="693"/>
      <c r="F109" s="693"/>
      <c r="G109" s="693"/>
      <c r="H109" s="693"/>
      <c r="I109" s="693"/>
      <c r="J109" s="693"/>
      <c r="K109" s="693"/>
      <c r="L109" s="693"/>
      <c r="M109" s="693"/>
      <c r="N109" s="693"/>
      <c r="O109" s="693"/>
      <c r="P109" s="693"/>
      <c r="Q109" s="693"/>
    </row>
    <row r="110" spans="1:17" ht="13.5">
      <c r="A110" s="693"/>
      <c r="B110" s="693"/>
      <c r="C110" s="693"/>
      <c r="D110" s="693"/>
      <c r="E110" s="693"/>
      <c r="F110" s="693"/>
      <c r="G110" s="693"/>
      <c r="H110" s="693"/>
      <c r="I110" s="693"/>
      <c r="J110" s="693"/>
      <c r="K110" s="693"/>
      <c r="L110" s="693"/>
      <c r="M110" s="693"/>
      <c r="N110" s="693"/>
      <c r="O110" s="693"/>
      <c r="P110" s="693"/>
      <c r="Q110" s="693"/>
    </row>
    <row r="111" spans="1:17" ht="13.5">
      <c r="A111" s="693"/>
      <c r="B111" s="693"/>
      <c r="C111" s="693"/>
      <c r="D111" s="693"/>
      <c r="E111" s="693"/>
      <c r="F111" s="693"/>
      <c r="G111" s="693"/>
      <c r="H111" s="693"/>
      <c r="I111" s="693"/>
      <c r="J111" s="693"/>
      <c r="K111" s="693"/>
      <c r="L111" s="693"/>
      <c r="M111" s="693"/>
      <c r="N111" s="693"/>
      <c r="O111" s="693"/>
      <c r="P111" s="693"/>
      <c r="Q111" s="693"/>
    </row>
    <row r="112" spans="1:17" ht="13.5">
      <c r="A112" s="693"/>
      <c r="B112" s="693"/>
      <c r="C112" s="693"/>
      <c r="D112" s="693"/>
      <c r="E112" s="693"/>
      <c r="F112" s="693"/>
      <c r="G112" s="693"/>
      <c r="H112" s="693"/>
      <c r="I112" s="693"/>
      <c r="J112" s="693"/>
      <c r="K112" s="693"/>
      <c r="L112" s="693"/>
      <c r="M112" s="693"/>
      <c r="N112" s="693"/>
      <c r="O112" s="693"/>
      <c r="P112" s="693"/>
      <c r="Q112" s="693"/>
    </row>
    <row r="113" spans="1:17" ht="13.5">
      <c r="A113" s="693"/>
      <c r="B113" s="693"/>
      <c r="C113" s="693"/>
      <c r="D113" s="693"/>
      <c r="E113" s="693"/>
      <c r="F113" s="693"/>
      <c r="G113" s="693"/>
      <c r="H113" s="693"/>
      <c r="I113" s="693"/>
      <c r="J113" s="693"/>
      <c r="K113" s="693"/>
      <c r="L113" s="693"/>
      <c r="M113" s="693"/>
      <c r="N113" s="693"/>
      <c r="O113" s="693"/>
      <c r="P113" s="693"/>
      <c r="Q113" s="693"/>
    </row>
    <row r="114" spans="1:17" ht="13.5">
      <c r="A114" s="693"/>
      <c r="B114" s="693"/>
      <c r="C114" s="693"/>
      <c r="D114" s="693"/>
      <c r="E114" s="693"/>
      <c r="F114" s="693"/>
      <c r="G114" s="693"/>
      <c r="H114" s="693"/>
      <c r="I114" s="693"/>
      <c r="J114" s="693"/>
      <c r="K114" s="693"/>
      <c r="L114" s="693"/>
      <c r="M114" s="693"/>
      <c r="N114" s="693"/>
      <c r="O114" s="693"/>
      <c r="P114" s="693"/>
      <c r="Q114" s="693"/>
    </row>
    <row r="115" spans="1:17" ht="13.5">
      <c r="A115" s="693"/>
      <c r="B115" s="693"/>
      <c r="C115" s="693"/>
      <c r="D115" s="693"/>
      <c r="E115" s="693"/>
      <c r="F115" s="693"/>
      <c r="G115" s="693"/>
      <c r="H115" s="693"/>
      <c r="I115" s="693"/>
      <c r="J115" s="693"/>
      <c r="K115" s="693"/>
      <c r="L115" s="693"/>
      <c r="M115" s="693"/>
      <c r="N115" s="693"/>
      <c r="O115" s="693"/>
      <c r="P115" s="693"/>
      <c r="Q115" s="693"/>
    </row>
    <row r="116" spans="1:17" ht="13.5">
      <c r="A116" s="693"/>
      <c r="B116" s="693"/>
      <c r="C116" s="693"/>
      <c r="D116" s="693"/>
      <c r="E116" s="693"/>
      <c r="F116" s="693"/>
      <c r="G116" s="693"/>
      <c r="H116" s="693"/>
      <c r="I116" s="693"/>
      <c r="J116" s="693"/>
      <c r="K116" s="693"/>
      <c r="L116" s="693"/>
      <c r="M116" s="693"/>
      <c r="N116" s="693"/>
      <c r="O116" s="693"/>
      <c r="P116" s="693"/>
      <c r="Q116" s="693"/>
    </row>
    <row r="117" spans="1:17" ht="13.5">
      <c r="A117" s="693"/>
      <c r="B117" s="693"/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3"/>
      <c r="N117" s="693"/>
      <c r="O117" s="693"/>
      <c r="P117" s="693"/>
      <c r="Q117" s="693"/>
    </row>
    <row r="118" spans="1:17" ht="13.5">
      <c r="A118" s="693"/>
      <c r="B118" s="693"/>
      <c r="C118" s="693"/>
      <c r="D118" s="693"/>
      <c r="E118" s="693"/>
      <c r="F118" s="693"/>
      <c r="G118" s="693"/>
      <c r="H118" s="693"/>
      <c r="I118" s="693"/>
      <c r="J118" s="693"/>
      <c r="K118" s="693"/>
      <c r="L118" s="693"/>
      <c r="M118" s="693"/>
      <c r="N118" s="693"/>
      <c r="O118" s="693"/>
      <c r="P118" s="693"/>
      <c r="Q118" s="693"/>
    </row>
    <row r="119" spans="1:17" ht="13.5">
      <c r="A119" s="693"/>
      <c r="B119" s="693"/>
      <c r="C119" s="693"/>
      <c r="D119" s="693"/>
      <c r="E119" s="693"/>
      <c r="F119" s="693"/>
      <c r="G119" s="693"/>
      <c r="H119" s="693"/>
      <c r="I119" s="693"/>
      <c r="J119" s="693"/>
      <c r="K119" s="693"/>
      <c r="L119" s="693"/>
      <c r="M119" s="693"/>
      <c r="N119" s="693"/>
      <c r="O119" s="693"/>
      <c r="P119" s="693"/>
      <c r="Q119" s="693"/>
    </row>
    <row r="120" spans="1:17" ht="13.5">
      <c r="A120" s="693"/>
      <c r="B120" s="693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3"/>
      <c r="N120" s="693"/>
      <c r="O120" s="693"/>
      <c r="P120" s="693"/>
      <c r="Q120" s="693"/>
    </row>
    <row r="121" spans="1:17" ht="13.5">
      <c r="A121" s="693"/>
      <c r="B121" s="693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3"/>
      <c r="N121" s="693"/>
      <c r="O121" s="693"/>
      <c r="P121" s="693"/>
      <c r="Q121" s="693"/>
    </row>
    <row r="122" spans="1:17" ht="13.5">
      <c r="A122" s="693"/>
      <c r="B122" s="693"/>
      <c r="C122" s="693"/>
      <c r="D122" s="693"/>
      <c r="E122" s="693"/>
      <c r="F122" s="693"/>
      <c r="G122" s="693"/>
      <c r="H122" s="693"/>
      <c r="I122" s="693"/>
      <c r="J122" s="693"/>
      <c r="K122" s="693"/>
      <c r="L122" s="693"/>
      <c r="M122" s="693"/>
      <c r="N122" s="693"/>
      <c r="O122" s="693"/>
      <c r="P122" s="693"/>
      <c r="Q122" s="693"/>
    </row>
    <row r="123" spans="1:17" ht="13.5">
      <c r="A123" s="693"/>
      <c r="B123" s="693"/>
      <c r="C123" s="693"/>
      <c r="D123" s="693"/>
      <c r="E123" s="693"/>
      <c r="F123" s="693"/>
      <c r="G123" s="693"/>
      <c r="H123" s="693"/>
      <c r="I123" s="693"/>
      <c r="J123" s="693"/>
      <c r="K123" s="693"/>
      <c r="L123" s="693"/>
      <c r="M123" s="693"/>
      <c r="N123" s="693"/>
      <c r="O123" s="693"/>
      <c r="P123" s="693"/>
      <c r="Q123" s="693"/>
    </row>
    <row r="124" spans="1:17" ht="13.5">
      <c r="A124" s="693"/>
      <c r="B124" s="693"/>
      <c r="C124" s="693"/>
      <c r="D124" s="693"/>
      <c r="E124" s="693"/>
      <c r="F124" s="693"/>
      <c r="G124" s="693"/>
      <c r="H124" s="693"/>
      <c r="I124" s="693"/>
      <c r="J124" s="693"/>
      <c r="K124" s="693"/>
      <c r="L124" s="693"/>
      <c r="M124" s="693"/>
      <c r="N124" s="693"/>
      <c r="O124" s="693"/>
      <c r="P124" s="693"/>
      <c r="Q124" s="693"/>
    </row>
    <row r="125" spans="1:17" ht="13.5">
      <c r="A125" s="693"/>
      <c r="B125" s="693"/>
      <c r="C125" s="693"/>
      <c r="D125" s="693"/>
      <c r="E125" s="693"/>
      <c r="F125" s="693"/>
      <c r="G125" s="693"/>
      <c r="H125" s="693"/>
      <c r="I125" s="693"/>
      <c r="J125" s="693"/>
      <c r="K125" s="693"/>
      <c r="L125" s="693"/>
      <c r="M125" s="693"/>
      <c r="N125" s="693"/>
      <c r="O125" s="693"/>
      <c r="P125" s="693"/>
      <c r="Q125" s="693"/>
    </row>
    <row r="126" spans="1:17" ht="13.5">
      <c r="A126" s="693"/>
      <c r="B126" s="693"/>
      <c r="C126" s="693"/>
      <c r="D126" s="693"/>
      <c r="E126" s="693"/>
      <c r="F126" s="693"/>
      <c r="G126" s="693"/>
      <c r="H126" s="693"/>
      <c r="I126" s="693"/>
      <c r="J126" s="693"/>
      <c r="K126" s="693"/>
      <c r="L126" s="693"/>
      <c r="M126" s="693"/>
      <c r="N126" s="693"/>
      <c r="O126" s="693"/>
      <c r="P126" s="693"/>
      <c r="Q126" s="693"/>
    </row>
    <row r="127" spans="1:17" ht="13.5">
      <c r="A127" s="693"/>
      <c r="B127" s="693"/>
      <c r="C127" s="693"/>
      <c r="D127" s="693"/>
      <c r="E127" s="693"/>
      <c r="F127" s="693"/>
      <c r="G127" s="693"/>
      <c r="H127" s="693"/>
      <c r="I127" s="693"/>
      <c r="J127" s="693"/>
      <c r="K127" s="693"/>
      <c r="L127" s="693"/>
      <c r="M127" s="693"/>
      <c r="N127" s="693"/>
      <c r="O127" s="693"/>
      <c r="P127" s="693"/>
      <c r="Q127" s="693"/>
    </row>
    <row r="128" spans="1:17" ht="13.5">
      <c r="A128" s="693"/>
      <c r="B128" s="693"/>
      <c r="C128" s="693"/>
      <c r="D128" s="693"/>
      <c r="E128" s="693"/>
      <c r="F128" s="693"/>
      <c r="G128" s="693"/>
      <c r="H128" s="693"/>
      <c r="I128" s="693"/>
      <c r="J128" s="693"/>
      <c r="K128" s="693"/>
      <c r="L128" s="693"/>
      <c r="M128" s="693"/>
      <c r="N128" s="693"/>
      <c r="O128" s="693"/>
      <c r="P128" s="693"/>
      <c r="Q128" s="693"/>
    </row>
    <row r="129" spans="1:17" ht="13.5">
      <c r="A129" s="693"/>
      <c r="B129" s="693"/>
      <c r="C129" s="693"/>
      <c r="D129" s="693"/>
      <c r="E129" s="693"/>
      <c r="F129" s="693"/>
      <c r="G129" s="693"/>
      <c r="H129" s="693"/>
      <c r="I129" s="693"/>
      <c r="J129" s="693"/>
      <c r="K129" s="693"/>
      <c r="L129" s="693"/>
      <c r="M129" s="693"/>
      <c r="N129" s="693"/>
      <c r="O129" s="693"/>
      <c r="P129" s="693"/>
      <c r="Q129" s="693"/>
    </row>
    <row r="130" spans="1:17" ht="13.5">
      <c r="A130" s="693"/>
      <c r="B130" s="693"/>
      <c r="C130" s="693"/>
      <c r="D130" s="693"/>
      <c r="E130" s="693"/>
      <c r="F130" s="693"/>
      <c r="G130" s="693"/>
      <c r="H130" s="693"/>
      <c r="I130" s="693"/>
      <c r="J130" s="693"/>
      <c r="K130" s="693"/>
      <c r="L130" s="693"/>
      <c r="M130" s="693"/>
      <c r="N130" s="693"/>
      <c r="O130" s="693"/>
      <c r="P130" s="693"/>
      <c r="Q130" s="693"/>
    </row>
    <row r="131" spans="1:17" ht="13.5">
      <c r="A131" s="693"/>
      <c r="B131" s="693"/>
      <c r="C131" s="693"/>
      <c r="D131" s="693"/>
      <c r="E131" s="693"/>
      <c r="F131" s="693"/>
      <c r="G131" s="693"/>
      <c r="H131" s="693"/>
      <c r="I131" s="693"/>
      <c r="J131" s="693"/>
      <c r="K131" s="693"/>
      <c r="L131" s="693"/>
      <c r="M131" s="693"/>
      <c r="N131" s="693"/>
      <c r="O131" s="693"/>
      <c r="P131" s="693"/>
      <c r="Q131" s="693"/>
    </row>
    <row r="132" spans="1:17" ht="13.5">
      <c r="A132" s="693"/>
      <c r="B132" s="693"/>
      <c r="C132" s="693"/>
      <c r="D132" s="693"/>
      <c r="E132" s="693"/>
      <c r="F132" s="693"/>
      <c r="G132" s="693"/>
      <c r="H132" s="693"/>
      <c r="I132" s="693"/>
      <c r="J132" s="693"/>
      <c r="K132" s="693"/>
      <c r="L132" s="693"/>
      <c r="M132" s="693"/>
      <c r="N132" s="693"/>
      <c r="O132" s="693"/>
      <c r="P132" s="693"/>
      <c r="Q132" s="693"/>
    </row>
    <row r="133" spans="1:17" ht="13.5">
      <c r="A133" s="693"/>
      <c r="B133" s="693"/>
      <c r="C133" s="693"/>
      <c r="D133" s="693"/>
      <c r="E133" s="693"/>
      <c r="F133" s="693"/>
      <c r="G133" s="693"/>
      <c r="H133" s="693"/>
      <c r="I133" s="693"/>
      <c r="J133" s="693"/>
      <c r="K133" s="693"/>
      <c r="L133" s="693"/>
      <c r="M133" s="693"/>
      <c r="N133" s="693"/>
      <c r="O133" s="693"/>
      <c r="P133" s="693"/>
      <c r="Q133" s="693"/>
    </row>
    <row r="134" spans="1:17" ht="13.5">
      <c r="A134" s="693"/>
      <c r="B134" s="693"/>
      <c r="C134" s="693"/>
      <c r="D134" s="693"/>
      <c r="E134" s="693"/>
      <c r="F134" s="693"/>
      <c r="G134" s="693"/>
      <c r="H134" s="693"/>
      <c r="I134" s="693"/>
      <c r="J134" s="693"/>
      <c r="K134" s="693"/>
      <c r="L134" s="693"/>
      <c r="M134" s="693"/>
      <c r="N134" s="693"/>
      <c r="O134" s="693"/>
      <c r="P134" s="693"/>
      <c r="Q134" s="693"/>
    </row>
    <row r="135" spans="1:17" ht="13.5">
      <c r="A135" s="693"/>
      <c r="B135" s="693"/>
      <c r="C135" s="693"/>
      <c r="D135" s="693"/>
      <c r="E135" s="693"/>
      <c r="F135" s="693"/>
      <c r="G135" s="693"/>
      <c r="H135" s="693"/>
      <c r="I135" s="693"/>
      <c r="J135" s="693"/>
      <c r="K135" s="693"/>
      <c r="L135" s="693"/>
      <c r="M135" s="693"/>
      <c r="N135" s="693"/>
      <c r="O135" s="693"/>
      <c r="P135" s="693"/>
      <c r="Q135" s="693"/>
    </row>
    <row r="136" spans="1:17" ht="13.5">
      <c r="A136" s="693"/>
      <c r="B136" s="693"/>
      <c r="C136" s="693"/>
      <c r="D136" s="693"/>
      <c r="E136" s="693"/>
      <c r="F136" s="693"/>
      <c r="G136" s="693"/>
      <c r="H136" s="693"/>
      <c r="I136" s="693"/>
      <c r="J136" s="693"/>
      <c r="K136" s="693"/>
      <c r="L136" s="693"/>
      <c r="M136" s="693"/>
      <c r="N136" s="693"/>
      <c r="O136" s="693"/>
      <c r="P136" s="693"/>
      <c r="Q136" s="693"/>
    </row>
    <row r="137" spans="1:17" ht="13.5">
      <c r="A137" s="693"/>
      <c r="B137" s="693"/>
      <c r="C137" s="693"/>
      <c r="D137" s="693"/>
      <c r="E137" s="693"/>
      <c r="F137" s="693"/>
      <c r="G137" s="693"/>
      <c r="H137" s="693"/>
      <c r="I137" s="693"/>
      <c r="J137" s="693"/>
      <c r="K137" s="693"/>
      <c r="L137" s="693"/>
      <c r="M137" s="693"/>
      <c r="N137" s="693"/>
      <c r="O137" s="693"/>
      <c r="P137" s="693"/>
      <c r="Q137" s="693"/>
    </row>
    <row r="138" spans="1:17" ht="13.5">
      <c r="A138" s="693"/>
      <c r="B138" s="693"/>
      <c r="C138" s="693"/>
      <c r="D138" s="693"/>
      <c r="E138" s="693"/>
      <c r="F138" s="693"/>
      <c r="G138" s="693"/>
      <c r="H138" s="693"/>
      <c r="I138" s="693"/>
      <c r="J138" s="693"/>
      <c r="K138" s="693"/>
      <c r="L138" s="693"/>
      <c r="M138" s="693"/>
      <c r="N138" s="693"/>
      <c r="O138" s="693"/>
      <c r="P138" s="693"/>
      <c r="Q138" s="693"/>
    </row>
    <row r="139" spans="1:17" ht="13.5">
      <c r="A139" s="693"/>
      <c r="B139" s="693"/>
      <c r="C139" s="693"/>
      <c r="D139" s="693"/>
      <c r="E139" s="693"/>
      <c r="F139" s="693"/>
      <c r="G139" s="693"/>
      <c r="H139" s="693"/>
      <c r="I139" s="693"/>
      <c r="J139" s="693"/>
      <c r="K139" s="693"/>
      <c r="L139" s="693"/>
      <c r="M139" s="693"/>
      <c r="N139" s="693"/>
      <c r="O139" s="693"/>
      <c r="P139" s="693"/>
      <c r="Q139" s="693"/>
    </row>
    <row r="140" spans="1:17" ht="13.5">
      <c r="A140" s="693"/>
      <c r="B140" s="693"/>
      <c r="C140" s="693"/>
      <c r="D140" s="693"/>
      <c r="E140" s="693"/>
      <c r="F140" s="693"/>
      <c r="G140" s="693"/>
      <c r="H140" s="693"/>
      <c r="I140" s="693"/>
      <c r="J140" s="693"/>
      <c r="K140" s="693"/>
      <c r="L140" s="693"/>
      <c r="M140" s="693"/>
      <c r="N140" s="693"/>
      <c r="O140" s="693"/>
      <c r="P140" s="693"/>
      <c r="Q140" s="693"/>
    </row>
    <row r="141" spans="1:17" ht="13.5">
      <c r="A141" s="693"/>
      <c r="B141" s="693"/>
      <c r="C141" s="693"/>
      <c r="D141" s="693"/>
      <c r="E141" s="693"/>
      <c r="F141" s="693"/>
      <c r="G141" s="693"/>
      <c r="H141" s="693"/>
      <c r="I141" s="693"/>
      <c r="J141" s="693"/>
      <c r="K141" s="693"/>
      <c r="L141" s="693"/>
      <c r="M141" s="693"/>
      <c r="N141" s="693"/>
      <c r="O141" s="693"/>
      <c r="P141" s="693"/>
      <c r="Q141" s="693"/>
    </row>
    <row r="142" spans="1:17" ht="13.5">
      <c r="A142" s="693"/>
      <c r="B142" s="693"/>
      <c r="C142" s="693"/>
      <c r="D142" s="693"/>
      <c r="E142" s="693"/>
      <c r="F142" s="693"/>
      <c r="G142" s="693"/>
      <c r="H142" s="693"/>
      <c r="I142" s="693"/>
      <c r="J142" s="693"/>
      <c r="K142" s="693"/>
      <c r="L142" s="693"/>
      <c r="M142" s="693"/>
      <c r="N142" s="693"/>
      <c r="O142" s="693"/>
      <c r="P142" s="693"/>
      <c r="Q142" s="693"/>
    </row>
    <row r="143" spans="1:17" ht="13.5">
      <c r="A143" s="693"/>
      <c r="B143" s="693"/>
      <c r="C143" s="693"/>
      <c r="D143" s="693"/>
      <c r="E143" s="693"/>
      <c r="F143" s="693"/>
      <c r="G143" s="693"/>
      <c r="H143" s="693"/>
      <c r="I143" s="693"/>
      <c r="J143" s="693"/>
      <c r="K143" s="693"/>
      <c r="L143" s="693"/>
      <c r="M143" s="693"/>
      <c r="N143" s="693"/>
      <c r="O143" s="693"/>
      <c r="P143" s="693"/>
      <c r="Q143" s="693"/>
    </row>
    <row r="144" spans="1:17" ht="13.5">
      <c r="A144" s="693"/>
      <c r="B144" s="693"/>
      <c r="C144" s="693"/>
      <c r="D144" s="693"/>
      <c r="E144" s="693"/>
      <c r="F144" s="693"/>
      <c r="G144" s="693"/>
      <c r="H144" s="693"/>
      <c r="I144" s="693"/>
      <c r="J144" s="693"/>
      <c r="K144" s="693"/>
      <c r="L144" s="693"/>
      <c r="M144" s="693"/>
      <c r="N144" s="693"/>
      <c r="O144" s="693"/>
      <c r="P144" s="693"/>
      <c r="Q144" s="693"/>
    </row>
    <row r="145" spans="1:17" ht="13.5">
      <c r="A145" s="693"/>
      <c r="B145" s="693"/>
      <c r="C145" s="693"/>
      <c r="D145" s="693"/>
      <c r="E145" s="693"/>
      <c r="F145" s="693"/>
      <c r="G145" s="693"/>
      <c r="H145" s="693"/>
      <c r="I145" s="693"/>
      <c r="J145" s="693"/>
      <c r="K145" s="693"/>
      <c r="L145" s="693"/>
      <c r="M145" s="693"/>
      <c r="N145" s="693"/>
      <c r="O145" s="693"/>
      <c r="P145" s="693"/>
      <c r="Q145" s="693"/>
    </row>
    <row r="146" spans="1:17" ht="13.5">
      <c r="A146" s="693"/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</row>
    <row r="147" spans="1:17" ht="13.5">
      <c r="A147" s="693"/>
      <c r="B147" s="693"/>
      <c r="C147" s="693"/>
      <c r="D147" s="693"/>
      <c r="E147" s="693"/>
      <c r="F147" s="693"/>
      <c r="G147" s="693"/>
      <c r="H147" s="693"/>
      <c r="I147" s="693"/>
      <c r="J147" s="693"/>
      <c r="K147" s="693"/>
      <c r="L147" s="693"/>
      <c r="M147" s="693"/>
      <c r="N147" s="693"/>
      <c r="O147" s="693"/>
      <c r="P147" s="693"/>
      <c r="Q147" s="693"/>
    </row>
    <row r="148" spans="1:17" ht="13.5">
      <c r="A148" s="693"/>
      <c r="B148" s="693"/>
      <c r="C148" s="693"/>
      <c r="D148" s="693"/>
      <c r="E148" s="693"/>
      <c r="F148" s="693"/>
      <c r="G148" s="693"/>
      <c r="H148" s="693"/>
      <c r="I148" s="693"/>
      <c r="J148" s="693"/>
      <c r="K148" s="693"/>
      <c r="L148" s="693"/>
      <c r="M148" s="693"/>
      <c r="N148" s="693"/>
      <c r="O148" s="693"/>
      <c r="P148" s="693"/>
      <c r="Q148" s="693"/>
    </row>
    <row r="149" spans="1:17" ht="13.5">
      <c r="A149" s="693"/>
      <c r="B149" s="693"/>
      <c r="C149" s="693"/>
      <c r="D149" s="693"/>
      <c r="E149" s="693"/>
      <c r="F149" s="693"/>
      <c r="G149" s="693"/>
      <c r="H149" s="693"/>
      <c r="I149" s="693"/>
      <c r="J149" s="693"/>
      <c r="K149" s="693"/>
      <c r="L149" s="693"/>
      <c r="M149" s="693"/>
      <c r="N149" s="693"/>
      <c r="O149" s="693"/>
      <c r="P149" s="693"/>
      <c r="Q149" s="693"/>
    </row>
    <row r="150" spans="1:17" ht="13.5">
      <c r="A150" s="693"/>
      <c r="B150" s="693"/>
      <c r="C150" s="693"/>
      <c r="D150" s="693"/>
      <c r="E150" s="693"/>
      <c r="F150" s="693"/>
      <c r="G150" s="693"/>
      <c r="H150" s="693"/>
      <c r="I150" s="693"/>
      <c r="J150" s="693"/>
      <c r="K150" s="693"/>
      <c r="L150" s="693"/>
      <c r="M150" s="693"/>
      <c r="N150" s="693"/>
      <c r="O150" s="693"/>
      <c r="P150" s="693"/>
      <c r="Q150" s="693"/>
    </row>
    <row r="151" spans="1:17" ht="13.5">
      <c r="A151" s="693"/>
      <c r="B151" s="693"/>
      <c r="C151" s="693"/>
      <c r="D151" s="693"/>
      <c r="E151" s="693"/>
      <c r="F151" s="693"/>
      <c r="G151" s="693"/>
      <c r="H151" s="693"/>
      <c r="I151" s="693"/>
      <c r="J151" s="693"/>
      <c r="K151" s="693"/>
      <c r="L151" s="693"/>
      <c r="M151" s="693"/>
      <c r="N151" s="693"/>
      <c r="O151" s="693"/>
      <c r="P151" s="693"/>
      <c r="Q151" s="693"/>
    </row>
    <row r="152" spans="1:17" ht="13.5">
      <c r="A152" s="693"/>
      <c r="B152" s="693"/>
      <c r="C152" s="693"/>
      <c r="D152" s="693"/>
      <c r="E152" s="693"/>
      <c r="F152" s="693"/>
      <c r="G152" s="693"/>
      <c r="H152" s="693"/>
      <c r="I152" s="693"/>
      <c r="J152" s="693"/>
      <c r="K152" s="693"/>
      <c r="L152" s="693"/>
      <c r="M152" s="693"/>
      <c r="N152" s="693"/>
      <c r="O152" s="693"/>
      <c r="P152" s="693"/>
      <c r="Q152" s="693"/>
    </row>
    <row r="153" spans="1:17" ht="13.5">
      <c r="A153" s="693"/>
      <c r="B153" s="693"/>
      <c r="C153" s="693"/>
      <c r="D153" s="693"/>
      <c r="E153" s="693"/>
      <c r="F153" s="693"/>
      <c r="G153" s="693"/>
      <c r="H153" s="693"/>
      <c r="I153" s="693"/>
      <c r="J153" s="693"/>
      <c r="K153" s="693"/>
      <c r="L153" s="693"/>
      <c r="M153" s="693"/>
      <c r="N153" s="693"/>
      <c r="O153" s="693"/>
      <c r="P153" s="693"/>
      <c r="Q153" s="693"/>
    </row>
    <row r="154" spans="1:17" ht="13.5">
      <c r="A154" s="693"/>
      <c r="B154" s="693"/>
      <c r="C154" s="693"/>
      <c r="D154" s="693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93"/>
      <c r="P154" s="693"/>
      <c r="Q154" s="693"/>
    </row>
    <row r="155" spans="1:17" ht="13.5">
      <c r="A155" s="693"/>
      <c r="B155" s="693"/>
      <c r="C155" s="693"/>
      <c r="D155" s="693"/>
      <c r="E155" s="693"/>
      <c r="F155" s="693"/>
      <c r="G155" s="693"/>
      <c r="H155" s="693"/>
      <c r="I155" s="693"/>
      <c r="J155" s="693"/>
      <c r="K155" s="693"/>
      <c r="L155" s="693"/>
      <c r="M155" s="693"/>
      <c r="N155" s="693"/>
      <c r="O155" s="693"/>
      <c r="P155" s="693"/>
      <c r="Q155" s="693"/>
    </row>
    <row r="156" spans="1:17" ht="13.5">
      <c r="A156" s="693"/>
      <c r="B156" s="693"/>
      <c r="C156" s="693"/>
      <c r="D156" s="693"/>
      <c r="E156" s="693"/>
      <c r="F156" s="693"/>
      <c r="G156" s="693"/>
      <c r="H156" s="693"/>
      <c r="I156" s="693"/>
      <c r="J156" s="693"/>
      <c r="K156" s="693"/>
      <c r="L156" s="693"/>
      <c r="M156" s="693"/>
      <c r="N156" s="693"/>
      <c r="O156" s="693"/>
      <c r="P156" s="693"/>
      <c r="Q156" s="693"/>
    </row>
    <row r="157" spans="1:17" ht="13.5">
      <c r="A157" s="693"/>
      <c r="B157" s="693"/>
      <c r="C157" s="693"/>
      <c r="D157" s="693"/>
      <c r="E157" s="693"/>
      <c r="F157" s="693"/>
      <c r="G157" s="693"/>
      <c r="H157" s="693"/>
      <c r="I157" s="693"/>
      <c r="J157" s="693"/>
      <c r="K157" s="693"/>
      <c r="L157" s="693"/>
      <c r="M157" s="693"/>
      <c r="N157" s="693"/>
      <c r="O157" s="693"/>
      <c r="P157" s="693"/>
      <c r="Q157" s="693"/>
    </row>
    <row r="158" spans="1:17" ht="13.5">
      <c r="A158" s="693"/>
      <c r="B158" s="693"/>
      <c r="C158" s="693"/>
      <c r="D158" s="693"/>
      <c r="E158" s="693"/>
      <c r="F158" s="693"/>
      <c r="G158" s="693"/>
      <c r="H158" s="693"/>
      <c r="I158" s="693"/>
      <c r="J158" s="693"/>
      <c r="K158" s="693"/>
      <c r="L158" s="693"/>
      <c r="M158" s="693"/>
      <c r="N158" s="693"/>
      <c r="O158" s="693"/>
      <c r="P158" s="693"/>
      <c r="Q158" s="693"/>
    </row>
    <row r="159" spans="1:17" ht="13.5">
      <c r="A159" s="693"/>
      <c r="B159" s="693"/>
      <c r="C159" s="693"/>
      <c r="D159" s="693"/>
      <c r="E159" s="693"/>
      <c r="F159" s="693"/>
      <c r="G159" s="693"/>
      <c r="H159" s="693"/>
      <c r="I159" s="693"/>
      <c r="J159" s="693"/>
      <c r="K159" s="693"/>
      <c r="L159" s="693"/>
      <c r="M159" s="693"/>
      <c r="N159" s="693"/>
      <c r="O159" s="693"/>
      <c r="P159" s="693"/>
      <c r="Q159" s="693"/>
    </row>
    <row r="160" spans="1:17" ht="13.5">
      <c r="A160" s="693"/>
      <c r="B160" s="693"/>
      <c r="C160" s="693"/>
      <c r="D160" s="693"/>
      <c r="E160" s="693"/>
      <c r="F160" s="693"/>
      <c r="G160" s="693"/>
      <c r="H160" s="693"/>
      <c r="I160" s="693"/>
      <c r="J160" s="693"/>
      <c r="K160" s="693"/>
      <c r="L160" s="693"/>
      <c r="M160" s="693"/>
      <c r="N160" s="693"/>
      <c r="O160" s="693"/>
      <c r="P160" s="693"/>
      <c r="Q160" s="693"/>
    </row>
    <row r="161" spans="1:17" ht="13.5">
      <c r="A161" s="693"/>
      <c r="B161" s="693"/>
      <c r="C161" s="693"/>
      <c r="D161" s="693"/>
      <c r="E161" s="693"/>
      <c r="F161" s="693"/>
      <c r="G161" s="693"/>
      <c r="H161" s="693"/>
      <c r="I161" s="693"/>
      <c r="J161" s="693"/>
      <c r="K161" s="693"/>
      <c r="L161" s="693"/>
      <c r="M161" s="693"/>
      <c r="N161" s="693"/>
      <c r="O161" s="693"/>
      <c r="P161" s="693"/>
      <c r="Q161" s="693"/>
    </row>
    <row r="162" spans="1:17" ht="13.5">
      <c r="A162" s="693"/>
      <c r="B162" s="693"/>
      <c r="C162" s="693"/>
      <c r="D162" s="693"/>
      <c r="E162" s="693"/>
      <c r="F162" s="693"/>
      <c r="G162" s="693"/>
      <c r="H162" s="693"/>
      <c r="I162" s="693"/>
      <c r="J162" s="693"/>
      <c r="K162" s="693"/>
      <c r="L162" s="693"/>
      <c r="M162" s="693"/>
      <c r="N162" s="693"/>
      <c r="O162" s="693"/>
      <c r="P162" s="693"/>
      <c r="Q162" s="693"/>
    </row>
    <row r="163" spans="1:17" ht="13.5">
      <c r="A163" s="693"/>
      <c r="B163" s="693"/>
      <c r="C163" s="693"/>
      <c r="D163" s="693"/>
      <c r="E163" s="693"/>
      <c r="F163" s="693"/>
      <c r="G163" s="693"/>
      <c r="H163" s="693"/>
      <c r="I163" s="693"/>
      <c r="J163" s="693"/>
      <c r="K163" s="693"/>
      <c r="L163" s="693"/>
      <c r="M163" s="693"/>
      <c r="N163" s="693"/>
      <c r="O163" s="693"/>
      <c r="P163" s="693"/>
      <c r="Q163" s="693"/>
    </row>
    <row r="164" spans="1:17" ht="13.5">
      <c r="A164" s="693"/>
      <c r="B164" s="693"/>
      <c r="C164" s="693"/>
      <c r="D164" s="693"/>
      <c r="E164" s="693"/>
      <c r="F164" s="693"/>
      <c r="G164" s="693"/>
      <c r="H164" s="693"/>
      <c r="I164" s="693"/>
      <c r="J164" s="693"/>
      <c r="K164" s="693"/>
      <c r="L164" s="693"/>
      <c r="M164" s="693"/>
      <c r="N164" s="693"/>
      <c r="O164" s="693"/>
      <c r="P164" s="693"/>
      <c r="Q164" s="693"/>
    </row>
    <row r="165" spans="1:17" ht="13.5">
      <c r="A165" s="693"/>
      <c r="B165" s="693"/>
      <c r="C165" s="693"/>
      <c r="D165" s="693"/>
      <c r="E165" s="693"/>
      <c r="F165" s="693"/>
      <c r="G165" s="693"/>
      <c r="H165" s="693"/>
      <c r="I165" s="693"/>
      <c r="J165" s="693"/>
      <c r="K165" s="693"/>
      <c r="L165" s="693"/>
      <c r="M165" s="693"/>
      <c r="N165" s="693"/>
      <c r="O165" s="693"/>
      <c r="P165" s="693"/>
      <c r="Q165" s="693"/>
    </row>
    <row r="166" spans="1:17" ht="13.5">
      <c r="A166" s="693"/>
      <c r="B166" s="693"/>
      <c r="C166" s="693"/>
      <c r="D166" s="693"/>
      <c r="E166" s="693"/>
      <c r="F166" s="693"/>
      <c r="G166" s="693"/>
      <c r="H166" s="693"/>
      <c r="I166" s="693"/>
      <c r="J166" s="693"/>
      <c r="K166" s="693"/>
      <c r="L166" s="693"/>
      <c r="M166" s="693"/>
      <c r="N166" s="693"/>
      <c r="O166" s="693"/>
      <c r="P166" s="693"/>
      <c r="Q166" s="693"/>
    </row>
    <row r="167" spans="1:17" ht="13.5">
      <c r="A167" s="693"/>
      <c r="B167" s="693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</row>
    <row r="168" spans="1:17" ht="13.5">
      <c r="A168" s="693"/>
      <c r="B168" s="693"/>
      <c r="C168" s="693"/>
      <c r="D168" s="693"/>
      <c r="E168" s="693"/>
      <c r="F168" s="693"/>
      <c r="G168" s="693"/>
      <c r="H168" s="693"/>
      <c r="I168" s="693"/>
      <c r="J168" s="693"/>
      <c r="K168" s="693"/>
      <c r="L168" s="693"/>
      <c r="M168" s="693"/>
      <c r="N168" s="693"/>
      <c r="O168" s="693"/>
      <c r="P168" s="693"/>
      <c r="Q168" s="693"/>
    </row>
    <row r="169" spans="1:17" ht="13.5">
      <c r="A169" s="693"/>
      <c r="B169" s="693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3"/>
      <c r="N169" s="693"/>
      <c r="O169" s="693"/>
      <c r="P169" s="693"/>
      <c r="Q169" s="693"/>
    </row>
    <row r="170" spans="1:17" ht="13.5">
      <c r="A170" s="693"/>
      <c r="B170" s="693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3"/>
      <c r="N170" s="693"/>
      <c r="O170" s="693"/>
      <c r="P170" s="693"/>
      <c r="Q170" s="693"/>
    </row>
    <row r="171" spans="1:17" ht="13.5">
      <c r="A171" s="693"/>
      <c r="B171" s="693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3"/>
      <c r="N171" s="693"/>
      <c r="O171" s="693"/>
      <c r="P171" s="693"/>
      <c r="Q171" s="693"/>
    </row>
    <row r="172" spans="1:17" ht="13.5">
      <c r="A172" s="693"/>
      <c r="B172" s="693"/>
      <c r="C172" s="693"/>
      <c r="D172" s="693"/>
      <c r="E172" s="693"/>
      <c r="F172" s="693"/>
      <c r="G172" s="693"/>
      <c r="H172" s="693"/>
      <c r="I172" s="693"/>
      <c r="J172" s="693"/>
      <c r="K172" s="693"/>
      <c r="L172" s="693"/>
      <c r="M172" s="693"/>
      <c r="N172" s="693"/>
      <c r="O172" s="693"/>
      <c r="P172" s="693"/>
      <c r="Q172" s="693"/>
    </row>
    <row r="173" spans="1:17" ht="13.5">
      <c r="A173" s="693"/>
      <c r="B173" s="693"/>
      <c r="C173" s="693"/>
      <c r="D173" s="693"/>
      <c r="E173" s="693"/>
      <c r="F173" s="693"/>
      <c r="G173" s="693"/>
      <c r="H173" s="693"/>
      <c r="I173" s="693"/>
      <c r="J173" s="693"/>
      <c r="K173" s="693"/>
      <c r="L173" s="693"/>
      <c r="M173" s="693"/>
      <c r="N173" s="693"/>
      <c r="O173" s="693"/>
      <c r="P173" s="693"/>
      <c r="Q173" s="693"/>
    </row>
    <row r="174" spans="1:17" ht="13.5">
      <c r="A174" s="693"/>
      <c r="B174" s="693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3"/>
      <c r="N174" s="693"/>
      <c r="O174" s="693"/>
      <c r="P174" s="693"/>
      <c r="Q174" s="693"/>
    </row>
    <row r="175" spans="1:17" ht="13.5">
      <c r="A175" s="693"/>
      <c r="B175" s="693"/>
      <c r="C175" s="693"/>
      <c r="D175" s="693"/>
      <c r="E175" s="693"/>
      <c r="F175" s="693"/>
      <c r="G175" s="693"/>
      <c r="H175" s="693"/>
      <c r="I175" s="693"/>
      <c r="J175" s="693"/>
      <c r="K175" s="693"/>
      <c r="L175" s="693"/>
      <c r="M175" s="693"/>
      <c r="N175" s="693"/>
      <c r="O175" s="693"/>
      <c r="P175" s="693"/>
      <c r="Q175" s="693"/>
    </row>
    <row r="176" spans="1:17" ht="13.5">
      <c r="A176" s="693"/>
      <c r="B176" s="693"/>
      <c r="C176" s="693"/>
      <c r="D176" s="693"/>
      <c r="E176" s="693"/>
      <c r="F176" s="693"/>
      <c r="G176" s="693"/>
      <c r="H176" s="693"/>
      <c r="I176" s="693"/>
      <c r="J176" s="693"/>
      <c r="K176" s="693"/>
      <c r="L176" s="693"/>
      <c r="M176" s="693"/>
      <c r="N176" s="693"/>
      <c r="O176" s="693"/>
      <c r="P176" s="693"/>
      <c r="Q176" s="693"/>
    </row>
    <row r="177" spans="1:17" ht="13.5">
      <c r="A177" s="693"/>
      <c r="B177" s="693"/>
      <c r="C177" s="693"/>
      <c r="D177" s="693"/>
      <c r="E177" s="693"/>
      <c r="F177" s="693"/>
      <c r="G177" s="693"/>
      <c r="H177" s="693"/>
      <c r="I177" s="693"/>
      <c r="J177" s="693"/>
      <c r="K177" s="693"/>
      <c r="L177" s="693"/>
      <c r="M177" s="693"/>
      <c r="N177" s="693"/>
      <c r="O177" s="693"/>
      <c r="P177" s="693"/>
      <c r="Q177" s="693"/>
    </row>
    <row r="178" spans="1:17" ht="13.5">
      <c r="A178" s="693"/>
      <c r="B178" s="693"/>
      <c r="C178" s="693"/>
      <c r="D178" s="693"/>
      <c r="E178" s="693"/>
      <c r="F178" s="693"/>
      <c r="G178" s="693"/>
      <c r="H178" s="693"/>
      <c r="I178" s="693"/>
      <c r="J178" s="693"/>
      <c r="K178" s="693"/>
      <c r="L178" s="693"/>
      <c r="M178" s="693"/>
      <c r="N178" s="693"/>
      <c r="O178" s="693"/>
      <c r="P178" s="693"/>
      <c r="Q178" s="693"/>
    </row>
    <row r="179" spans="1:17" ht="13.5">
      <c r="A179" s="693"/>
      <c r="B179" s="693"/>
      <c r="C179" s="693"/>
      <c r="D179" s="693"/>
      <c r="E179" s="693"/>
      <c r="F179" s="693"/>
      <c r="G179" s="693"/>
      <c r="H179" s="693"/>
      <c r="I179" s="693"/>
      <c r="J179" s="693"/>
      <c r="K179" s="693"/>
      <c r="L179" s="693"/>
      <c r="M179" s="693"/>
      <c r="N179" s="693"/>
      <c r="O179" s="693"/>
      <c r="P179" s="693"/>
      <c r="Q179" s="693"/>
    </row>
    <row r="180" spans="1:17" ht="13.5">
      <c r="A180" s="693"/>
      <c r="B180" s="693"/>
      <c r="C180" s="693"/>
      <c r="D180" s="693"/>
      <c r="E180" s="693"/>
      <c r="F180" s="693"/>
      <c r="G180" s="693"/>
      <c r="H180" s="693"/>
      <c r="I180" s="693"/>
      <c r="J180" s="693"/>
      <c r="K180" s="693"/>
      <c r="L180" s="693"/>
      <c r="M180" s="693"/>
      <c r="N180" s="693"/>
      <c r="O180" s="693"/>
      <c r="P180" s="693"/>
      <c r="Q180" s="693"/>
    </row>
    <row r="181" spans="1:17" ht="13.5">
      <c r="A181" s="693"/>
      <c r="B181" s="693"/>
      <c r="C181" s="693"/>
      <c r="D181" s="693"/>
      <c r="E181" s="693"/>
      <c r="F181" s="693"/>
      <c r="G181" s="693"/>
      <c r="H181" s="693"/>
      <c r="I181" s="693"/>
      <c r="J181" s="693"/>
      <c r="K181" s="693"/>
      <c r="L181" s="693"/>
      <c r="M181" s="693"/>
      <c r="N181" s="693"/>
      <c r="O181" s="693"/>
      <c r="P181" s="693"/>
      <c r="Q181" s="693"/>
    </row>
    <row r="182" spans="1:17" ht="13.5">
      <c r="A182" s="693"/>
      <c r="B182" s="693"/>
      <c r="C182" s="693"/>
      <c r="D182" s="693"/>
      <c r="E182" s="693"/>
      <c r="F182" s="693"/>
      <c r="G182" s="693"/>
      <c r="H182" s="693"/>
      <c r="I182" s="693"/>
      <c r="J182" s="693"/>
      <c r="K182" s="693"/>
      <c r="L182" s="693"/>
      <c r="M182" s="693"/>
      <c r="N182" s="693"/>
      <c r="O182" s="693"/>
      <c r="P182" s="693"/>
      <c r="Q182" s="693"/>
    </row>
    <row r="183" spans="1:17" ht="13.5">
      <c r="A183" s="693"/>
      <c r="B183" s="693"/>
      <c r="C183" s="693"/>
      <c r="D183" s="693"/>
      <c r="E183" s="693"/>
      <c r="F183" s="693"/>
      <c r="G183" s="693"/>
      <c r="H183" s="693"/>
      <c r="I183" s="693"/>
      <c r="J183" s="693"/>
      <c r="K183" s="693"/>
      <c r="L183" s="693"/>
      <c r="M183" s="693"/>
      <c r="N183" s="693"/>
      <c r="O183" s="693"/>
      <c r="P183" s="693"/>
      <c r="Q183" s="693"/>
    </row>
    <row r="184" spans="1:17" ht="13.5">
      <c r="A184" s="693"/>
      <c r="B184" s="693"/>
      <c r="C184" s="693"/>
      <c r="D184" s="693"/>
      <c r="E184" s="693"/>
      <c r="F184" s="693"/>
      <c r="G184" s="693"/>
      <c r="H184" s="693"/>
      <c r="I184" s="693"/>
      <c r="J184" s="693"/>
      <c r="K184" s="693"/>
      <c r="L184" s="693"/>
      <c r="M184" s="693"/>
      <c r="N184" s="693"/>
      <c r="O184" s="693"/>
      <c r="P184" s="693"/>
      <c r="Q184" s="693"/>
    </row>
    <row r="185" spans="1:17" ht="13.5">
      <c r="A185" s="693"/>
      <c r="B185" s="693"/>
      <c r="C185" s="693"/>
      <c r="D185" s="693"/>
      <c r="E185" s="693"/>
      <c r="F185" s="693"/>
      <c r="G185" s="693"/>
      <c r="H185" s="693"/>
      <c r="I185" s="693"/>
      <c r="J185" s="693"/>
      <c r="K185" s="693"/>
      <c r="L185" s="693"/>
      <c r="M185" s="693"/>
      <c r="N185" s="693"/>
      <c r="O185" s="693"/>
      <c r="P185" s="693"/>
      <c r="Q185" s="693"/>
    </row>
    <row r="186" spans="1:17" ht="13.5">
      <c r="A186" s="693"/>
      <c r="B186" s="693"/>
      <c r="C186" s="693"/>
      <c r="D186" s="693"/>
      <c r="E186" s="693"/>
      <c r="F186" s="693"/>
      <c r="G186" s="693"/>
      <c r="H186" s="693"/>
      <c r="I186" s="693"/>
      <c r="J186" s="693"/>
      <c r="K186" s="693"/>
      <c r="L186" s="693"/>
      <c r="M186" s="693"/>
      <c r="N186" s="693"/>
      <c r="O186" s="693"/>
      <c r="P186" s="693"/>
      <c r="Q186" s="693"/>
    </row>
    <row r="187" spans="1:17" ht="13.5">
      <c r="A187" s="693"/>
      <c r="B187" s="693"/>
      <c r="C187" s="693"/>
      <c r="D187" s="693"/>
      <c r="E187" s="693"/>
      <c r="F187" s="693"/>
      <c r="G187" s="693"/>
      <c r="H187" s="693"/>
      <c r="I187" s="693"/>
      <c r="J187" s="693"/>
      <c r="K187" s="693"/>
      <c r="L187" s="693"/>
      <c r="M187" s="693"/>
      <c r="N187" s="693"/>
      <c r="O187" s="693"/>
      <c r="P187" s="693"/>
      <c r="Q187" s="693"/>
    </row>
    <row r="188" spans="1:17" ht="13.5">
      <c r="A188" s="693"/>
      <c r="B188" s="693"/>
      <c r="C188" s="693"/>
      <c r="D188" s="693"/>
      <c r="E188" s="693"/>
      <c r="F188" s="693"/>
      <c r="G188" s="693"/>
      <c r="H188" s="693"/>
      <c r="I188" s="693"/>
      <c r="J188" s="693"/>
      <c r="K188" s="693"/>
      <c r="L188" s="693"/>
      <c r="M188" s="693"/>
      <c r="N188" s="693"/>
      <c r="O188" s="693"/>
      <c r="P188" s="693"/>
      <c r="Q188" s="693"/>
    </row>
    <row r="189" spans="1:17" ht="13.5">
      <c r="A189" s="693"/>
      <c r="B189" s="693"/>
      <c r="C189" s="693"/>
      <c r="D189" s="693"/>
      <c r="E189" s="693"/>
      <c r="F189" s="693"/>
      <c r="G189" s="693"/>
      <c r="H189" s="693"/>
      <c r="I189" s="693"/>
      <c r="J189" s="693"/>
      <c r="K189" s="693"/>
      <c r="L189" s="693"/>
      <c r="M189" s="693"/>
      <c r="N189" s="693"/>
      <c r="O189" s="693"/>
      <c r="P189" s="693"/>
      <c r="Q189" s="693"/>
    </row>
    <row r="190" spans="1:17" ht="13.5">
      <c r="A190" s="693"/>
      <c r="B190" s="693"/>
      <c r="C190" s="693"/>
      <c r="D190" s="693"/>
      <c r="E190" s="693"/>
      <c r="F190" s="693"/>
      <c r="G190" s="693"/>
      <c r="H190" s="693"/>
      <c r="I190" s="693"/>
      <c r="J190" s="693"/>
      <c r="K190" s="693"/>
      <c r="L190" s="693"/>
      <c r="M190" s="693"/>
      <c r="N190" s="693"/>
      <c r="O190" s="693"/>
      <c r="P190" s="693"/>
      <c r="Q190" s="693"/>
    </row>
    <row r="191" spans="1:17" ht="13.5">
      <c r="A191" s="693"/>
      <c r="B191" s="693"/>
      <c r="C191" s="693"/>
      <c r="D191" s="693"/>
      <c r="E191" s="693"/>
      <c r="F191" s="693"/>
      <c r="G191" s="693"/>
      <c r="H191" s="693"/>
      <c r="I191" s="693"/>
      <c r="J191" s="693"/>
      <c r="K191" s="693"/>
      <c r="L191" s="693"/>
      <c r="M191" s="693"/>
      <c r="N191" s="693"/>
      <c r="O191" s="693"/>
      <c r="P191" s="693"/>
      <c r="Q191" s="693"/>
    </row>
    <row r="192" spans="1:17" ht="13.5">
      <c r="A192" s="693"/>
      <c r="B192" s="693"/>
      <c r="C192" s="693"/>
      <c r="D192" s="693"/>
      <c r="E192" s="693"/>
      <c r="F192" s="693"/>
      <c r="G192" s="693"/>
      <c r="H192" s="693"/>
      <c r="I192" s="693"/>
      <c r="J192" s="693"/>
      <c r="K192" s="693"/>
      <c r="L192" s="693"/>
      <c r="M192" s="693"/>
      <c r="N192" s="693"/>
      <c r="O192" s="693"/>
      <c r="P192" s="693"/>
      <c r="Q192" s="693"/>
    </row>
    <row r="193" spans="1:17" ht="13.5">
      <c r="A193" s="693"/>
      <c r="B193" s="693"/>
      <c r="C193" s="693"/>
      <c r="D193" s="693"/>
      <c r="E193" s="693"/>
      <c r="F193" s="693"/>
      <c r="G193" s="693"/>
      <c r="H193" s="693"/>
      <c r="I193" s="693"/>
      <c r="J193" s="693"/>
      <c r="K193" s="693"/>
      <c r="L193" s="693"/>
      <c r="M193" s="693"/>
      <c r="N193" s="693"/>
      <c r="O193" s="693"/>
      <c r="P193" s="693"/>
      <c r="Q193" s="693"/>
    </row>
    <row r="194" spans="1:17" ht="13.5">
      <c r="A194" s="693"/>
      <c r="B194" s="693"/>
      <c r="C194" s="693"/>
      <c r="D194" s="693"/>
      <c r="E194" s="693"/>
      <c r="F194" s="693"/>
      <c r="G194" s="693"/>
      <c r="H194" s="693"/>
      <c r="I194" s="693"/>
      <c r="J194" s="693"/>
      <c r="K194" s="693"/>
      <c r="L194" s="693"/>
      <c r="M194" s="693"/>
      <c r="N194" s="693"/>
      <c r="O194" s="693"/>
      <c r="P194" s="693"/>
      <c r="Q194" s="693"/>
    </row>
    <row r="195" spans="1:17" ht="13.5">
      <c r="A195" s="693"/>
      <c r="B195" s="693"/>
      <c r="C195" s="693"/>
      <c r="D195" s="693"/>
      <c r="E195" s="693"/>
      <c r="F195" s="693"/>
      <c r="G195" s="693"/>
      <c r="H195" s="693"/>
      <c r="I195" s="693"/>
      <c r="J195" s="693"/>
      <c r="K195" s="693"/>
      <c r="L195" s="693"/>
      <c r="M195" s="693"/>
      <c r="N195" s="693"/>
      <c r="O195" s="693"/>
      <c r="P195" s="693"/>
      <c r="Q195" s="693"/>
    </row>
    <row r="196" spans="1:17" ht="13.5">
      <c r="A196" s="693"/>
      <c r="B196" s="693"/>
      <c r="C196" s="693"/>
      <c r="D196" s="693"/>
      <c r="E196" s="693"/>
      <c r="F196" s="693"/>
      <c r="G196" s="693"/>
      <c r="H196" s="693"/>
      <c r="I196" s="693"/>
      <c r="J196" s="693"/>
      <c r="K196" s="693"/>
      <c r="L196" s="693"/>
      <c r="M196" s="693"/>
      <c r="N196" s="693"/>
      <c r="O196" s="693"/>
      <c r="P196" s="693"/>
      <c r="Q196" s="693"/>
    </row>
    <row r="197" spans="1:17" ht="13.5">
      <c r="A197" s="693"/>
      <c r="B197" s="693"/>
      <c r="C197" s="693"/>
      <c r="D197" s="693"/>
      <c r="E197" s="693"/>
      <c r="F197" s="693"/>
      <c r="G197" s="693"/>
      <c r="H197" s="693"/>
      <c r="I197" s="693"/>
      <c r="J197" s="693"/>
      <c r="K197" s="693"/>
      <c r="L197" s="693"/>
      <c r="M197" s="693"/>
      <c r="N197" s="693"/>
      <c r="O197" s="693"/>
      <c r="P197" s="693"/>
      <c r="Q197" s="693"/>
    </row>
    <row r="198" spans="1:17" ht="13.5">
      <c r="A198" s="693"/>
      <c r="B198" s="693"/>
      <c r="C198" s="693"/>
      <c r="D198" s="693"/>
      <c r="E198" s="693"/>
      <c r="F198" s="693"/>
      <c r="G198" s="693"/>
      <c r="H198" s="693"/>
      <c r="I198" s="693"/>
      <c r="J198" s="693"/>
      <c r="K198" s="693"/>
      <c r="L198" s="693"/>
      <c r="M198" s="693"/>
      <c r="N198" s="693"/>
      <c r="O198" s="693"/>
      <c r="P198" s="693"/>
      <c r="Q198" s="693"/>
    </row>
    <row r="199" spans="1:17" ht="13.5">
      <c r="A199" s="693"/>
      <c r="B199" s="693"/>
      <c r="C199" s="693"/>
      <c r="D199" s="693"/>
      <c r="E199" s="693"/>
      <c r="F199" s="693"/>
      <c r="G199" s="693"/>
      <c r="H199" s="693"/>
      <c r="I199" s="693"/>
      <c r="J199" s="693"/>
      <c r="K199" s="693"/>
      <c r="L199" s="693"/>
      <c r="M199" s="693"/>
      <c r="N199" s="693"/>
      <c r="O199" s="693"/>
      <c r="P199" s="693"/>
      <c r="Q199" s="693"/>
    </row>
    <row r="200" spans="1:17" ht="13.5">
      <c r="A200" s="693"/>
      <c r="B200" s="693"/>
      <c r="C200" s="693"/>
      <c r="D200" s="693"/>
      <c r="E200" s="693"/>
      <c r="F200" s="693"/>
      <c r="G200" s="693"/>
      <c r="H200" s="693"/>
      <c r="I200" s="693"/>
      <c r="J200" s="693"/>
      <c r="K200" s="693"/>
      <c r="L200" s="693"/>
      <c r="M200" s="693"/>
      <c r="N200" s="693"/>
      <c r="O200" s="693"/>
      <c r="P200" s="693"/>
      <c r="Q200" s="693"/>
    </row>
    <row r="201" spans="1:17" ht="13.5">
      <c r="A201" s="693"/>
      <c r="B201" s="693"/>
      <c r="C201" s="693"/>
      <c r="D201" s="693"/>
      <c r="E201" s="693"/>
      <c r="F201" s="693"/>
      <c r="G201" s="693"/>
      <c r="H201" s="693"/>
      <c r="I201" s="693"/>
      <c r="J201" s="693"/>
      <c r="K201" s="693"/>
      <c r="L201" s="693"/>
      <c r="M201" s="693"/>
      <c r="N201" s="693"/>
      <c r="O201" s="693"/>
      <c r="P201" s="693"/>
      <c r="Q201" s="693"/>
    </row>
    <row r="202" spans="1:17" ht="13.5">
      <c r="A202" s="693"/>
      <c r="B202" s="693"/>
      <c r="C202" s="693"/>
      <c r="D202" s="693"/>
      <c r="E202" s="693"/>
      <c r="F202" s="693"/>
      <c r="G202" s="693"/>
      <c r="H202" s="693"/>
      <c r="I202" s="693"/>
      <c r="J202" s="693"/>
      <c r="K202" s="693"/>
      <c r="L202" s="693"/>
      <c r="M202" s="693"/>
      <c r="N202" s="693"/>
      <c r="O202" s="693"/>
      <c r="P202" s="693"/>
      <c r="Q202" s="693"/>
    </row>
    <row r="203" spans="1:17" ht="13.5">
      <c r="A203" s="693"/>
      <c r="B203" s="693"/>
      <c r="C203" s="693"/>
      <c r="D203" s="693"/>
      <c r="E203" s="693"/>
      <c r="F203" s="693"/>
      <c r="G203" s="693"/>
      <c r="H203" s="693"/>
      <c r="I203" s="693"/>
      <c r="J203" s="693"/>
      <c r="K203" s="693"/>
      <c r="L203" s="693"/>
      <c r="M203" s="693"/>
      <c r="N203" s="693"/>
      <c r="O203" s="693"/>
      <c r="P203" s="693"/>
      <c r="Q203" s="693"/>
    </row>
    <row r="204" spans="1:17" ht="13.5">
      <c r="A204" s="693"/>
      <c r="B204" s="693"/>
      <c r="C204" s="693"/>
      <c r="D204" s="693"/>
      <c r="E204" s="693"/>
      <c r="F204" s="693"/>
      <c r="G204" s="693"/>
      <c r="H204" s="693"/>
      <c r="I204" s="693"/>
      <c r="J204" s="693"/>
      <c r="K204" s="693"/>
      <c r="L204" s="693"/>
      <c r="M204" s="693"/>
      <c r="N204" s="693"/>
      <c r="O204" s="693"/>
      <c r="P204" s="693"/>
      <c r="Q204" s="693"/>
    </row>
    <row r="205" spans="1:17" ht="13.5">
      <c r="A205" s="693"/>
      <c r="B205" s="693"/>
      <c r="C205" s="693"/>
      <c r="D205" s="693"/>
      <c r="E205" s="693"/>
      <c r="F205" s="693"/>
      <c r="G205" s="693"/>
      <c r="H205" s="693"/>
      <c r="I205" s="693"/>
      <c r="J205" s="693"/>
      <c r="K205" s="693"/>
      <c r="L205" s="693"/>
      <c r="M205" s="693"/>
      <c r="N205" s="693"/>
      <c r="O205" s="693"/>
      <c r="P205" s="693"/>
      <c r="Q205" s="693"/>
    </row>
    <row r="206" spans="1:17" ht="13.5">
      <c r="A206" s="693"/>
      <c r="B206" s="693"/>
      <c r="C206" s="693"/>
      <c r="D206" s="693"/>
      <c r="E206" s="693"/>
      <c r="F206" s="693"/>
      <c r="G206" s="693"/>
      <c r="H206" s="693"/>
      <c r="I206" s="693"/>
      <c r="J206" s="693"/>
      <c r="K206" s="693"/>
      <c r="L206" s="693"/>
      <c r="M206" s="693"/>
      <c r="N206" s="693"/>
      <c r="O206" s="693"/>
      <c r="P206" s="693"/>
      <c r="Q206" s="693"/>
    </row>
    <row r="207" spans="1:17" ht="13.5">
      <c r="A207" s="693"/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3"/>
      <c r="P207" s="693"/>
      <c r="Q207" s="693"/>
    </row>
    <row r="208" spans="1:17" ht="13.5">
      <c r="A208" s="693"/>
      <c r="B208" s="693"/>
      <c r="C208" s="693"/>
      <c r="D208" s="693"/>
      <c r="E208" s="693"/>
      <c r="F208" s="693"/>
      <c r="G208" s="693"/>
      <c r="H208" s="693"/>
      <c r="I208" s="693"/>
      <c r="J208" s="693"/>
      <c r="K208" s="693"/>
      <c r="L208" s="693"/>
      <c r="M208" s="693"/>
      <c r="N208" s="693"/>
      <c r="O208" s="693"/>
      <c r="P208" s="693"/>
      <c r="Q208" s="693"/>
    </row>
    <row r="209" spans="1:17" ht="13.5">
      <c r="A209" s="693"/>
      <c r="B209" s="693"/>
      <c r="C209" s="693"/>
      <c r="D209" s="693"/>
      <c r="E209" s="693"/>
      <c r="F209" s="693"/>
      <c r="G209" s="693"/>
      <c r="H209" s="693"/>
      <c r="I209" s="693"/>
      <c r="J209" s="693"/>
      <c r="K209" s="693"/>
      <c r="L209" s="693"/>
      <c r="M209" s="693"/>
      <c r="N209" s="693"/>
      <c r="O209" s="693"/>
      <c r="P209" s="693"/>
      <c r="Q209" s="693"/>
    </row>
    <row r="210" spans="1:17" ht="13.5">
      <c r="A210" s="693"/>
      <c r="B210" s="693"/>
      <c r="C210" s="693"/>
      <c r="D210" s="693"/>
      <c r="E210" s="693"/>
      <c r="F210" s="693"/>
      <c r="G210" s="693"/>
      <c r="H210" s="693"/>
      <c r="I210" s="693"/>
      <c r="J210" s="693"/>
      <c r="K210" s="693"/>
      <c r="L210" s="693"/>
      <c r="M210" s="693"/>
      <c r="N210" s="693"/>
      <c r="O210" s="693"/>
      <c r="P210" s="693"/>
      <c r="Q210" s="693"/>
    </row>
    <row r="211" spans="1:17" ht="13.5">
      <c r="A211" s="693"/>
      <c r="B211" s="693"/>
      <c r="C211" s="693"/>
      <c r="D211" s="693"/>
      <c r="E211" s="693"/>
      <c r="F211" s="693"/>
      <c r="G211" s="693"/>
      <c r="H211" s="693"/>
      <c r="I211" s="693"/>
      <c r="J211" s="693"/>
      <c r="K211" s="693"/>
      <c r="L211" s="693"/>
      <c r="M211" s="693"/>
      <c r="N211" s="693"/>
      <c r="O211" s="693"/>
      <c r="P211" s="693"/>
      <c r="Q211" s="693"/>
    </row>
    <row r="212" spans="1:17" ht="13.5">
      <c r="A212" s="693"/>
      <c r="B212" s="693"/>
      <c r="C212" s="693"/>
      <c r="D212" s="693"/>
      <c r="E212" s="693"/>
      <c r="F212" s="693"/>
      <c r="G212" s="693"/>
      <c r="H212" s="693"/>
      <c r="I212" s="693"/>
      <c r="J212" s="693"/>
      <c r="K212" s="693"/>
      <c r="L212" s="693"/>
      <c r="M212" s="693"/>
      <c r="N212" s="693"/>
      <c r="O212" s="693"/>
      <c r="P212" s="693"/>
      <c r="Q212" s="693"/>
    </row>
    <row r="213" spans="1:17" ht="13.5">
      <c r="A213" s="693"/>
      <c r="B213" s="693"/>
      <c r="C213" s="693"/>
      <c r="D213" s="693"/>
      <c r="E213" s="693"/>
      <c r="F213" s="693"/>
      <c r="G213" s="693"/>
      <c r="H213" s="693"/>
      <c r="I213" s="693"/>
      <c r="J213" s="693"/>
      <c r="K213" s="693"/>
      <c r="L213" s="693"/>
      <c r="M213" s="693"/>
      <c r="N213" s="693"/>
      <c r="O213" s="693"/>
      <c r="P213" s="693"/>
      <c r="Q213" s="693"/>
    </row>
    <row r="214" spans="1:17" ht="13.5">
      <c r="A214" s="693"/>
      <c r="B214" s="693"/>
      <c r="C214" s="693"/>
      <c r="D214" s="693"/>
      <c r="E214" s="693"/>
      <c r="F214" s="693"/>
      <c r="G214" s="693"/>
      <c r="H214" s="693"/>
      <c r="I214" s="693"/>
      <c r="J214" s="693"/>
      <c r="K214" s="693"/>
      <c r="L214" s="693"/>
      <c r="M214" s="693"/>
      <c r="N214" s="693"/>
      <c r="O214" s="693"/>
      <c r="P214" s="693"/>
      <c r="Q214" s="693"/>
    </row>
    <row r="215" spans="1:17" ht="13.5">
      <c r="A215" s="693"/>
      <c r="B215" s="693"/>
      <c r="C215" s="693"/>
      <c r="D215" s="693"/>
      <c r="E215" s="693"/>
      <c r="F215" s="693"/>
      <c r="G215" s="693"/>
      <c r="H215" s="693"/>
      <c r="I215" s="693"/>
      <c r="J215" s="693"/>
      <c r="K215" s="693"/>
      <c r="L215" s="693"/>
      <c r="M215" s="693"/>
      <c r="N215" s="693"/>
      <c r="O215" s="693"/>
      <c r="P215" s="693"/>
      <c r="Q215" s="693"/>
    </row>
    <row r="216" spans="1:17" ht="13.5">
      <c r="A216" s="693"/>
      <c r="B216" s="693"/>
      <c r="C216" s="693"/>
      <c r="D216" s="693"/>
      <c r="E216" s="693"/>
      <c r="F216" s="693"/>
      <c r="G216" s="693"/>
      <c r="H216" s="693"/>
      <c r="I216" s="693"/>
      <c r="J216" s="693"/>
      <c r="K216" s="693"/>
      <c r="L216" s="693"/>
      <c r="M216" s="693"/>
      <c r="N216" s="693"/>
      <c r="O216" s="693"/>
      <c r="P216" s="693"/>
      <c r="Q216" s="693"/>
    </row>
    <row r="217" spans="1:17" ht="13.5">
      <c r="A217" s="693"/>
      <c r="B217" s="693"/>
      <c r="C217" s="693"/>
      <c r="D217" s="693"/>
      <c r="E217" s="693"/>
      <c r="F217" s="693"/>
      <c r="G217" s="693"/>
      <c r="H217" s="693"/>
      <c r="I217" s="693"/>
      <c r="J217" s="693"/>
      <c r="K217" s="693"/>
      <c r="L217" s="693"/>
      <c r="M217" s="693"/>
      <c r="N217" s="693"/>
      <c r="O217" s="693"/>
      <c r="P217" s="693"/>
      <c r="Q217" s="693"/>
    </row>
    <row r="218" spans="1:17" ht="13.5">
      <c r="A218" s="693"/>
      <c r="B218" s="693"/>
      <c r="C218" s="693"/>
      <c r="D218" s="693"/>
      <c r="E218" s="693"/>
      <c r="F218" s="693"/>
      <c r="G218" s="693"/>
      <c r="H218" s="693"/>
      <c r="I218" s="693"/>
      <c r="J218" s="693"/>
      <c r="K218" s="693"/>
      <c r="L218" s="693"/>
      <c r="M218" s="693"/>
      <c r="N218" s="693"/>
      <c r="O218" s="693"/>
      <c r="P218" s="693"/>
      <c r="Q218" s="693"/>
    </row>
    <row r="219" spans="1:17" ht="13.5">
      <c r="A219" s="693"/>
      <c r="B219" s="693"/>
      <c r="C219" s="693"/>
      <c r="D219" s="693"/>
      <c r="E219" s="693"/>
      <c r="F219" s="693"/>
      <c r="G219" s="693"/>
      <c r="H219" s="693"/>
      <c r="I219" s="693"/>
      <c r="J219" s="693"/>
      <c r="K219" s="693"/>
      <c r="L219" s="693"/>
      <c r="M219" s="693"/>
      <c r="N219" s="693"/>
      <c r="O219" s="693"/>
      <c r="P219" s="693"/>
      <c r="Q219" s="693"/>
    </row>
    <row r="220" spans="1:17" ht="13.5">
      <c r="A220" s="693"/>
      <c r="B220" s="693"/>
      <c r="C220" s="693"/>
      <c r="D220" s="693"/>
      <c r="E220" s="693"/>
      <c r="F220" s="693"/>
      <c r="G220" s="693"/>
      <c r="H220" s="693"/>
      <c r="I220" s="693"/>
      <c r="J220" s="693"/>
      <c r="K220" s="693"/>
      <c r="L220" s="693"/>
      <c r="M220" s="693"/>
      <c r="N220" s="693"/>
      <c r="O220" s="693"/>
      <c r="P220" s="693"/>
      <c r="Q220" s="693"/>
    </row>
    <row r="221" spans="1:17" ht="13.5">
      <c r="A221" s="693"/>
      <c r="B221" s="693"/>
      <c r="C221" s="693"/>
      <c r="D221" s="693"/>
      <c r="E221" s="693"/>
      <c r="F221" s="693"/>
      <c r="G221" s="693"/>
      <c r="H221" s="693"/>
      <c r="I221" s="693"/>
      <c r="J221" s="693"/>
      <c r="K221" s="693"/>
      <c r="L221" s="693"/>
      <c r="M221" s="693"/>
      <c r="N221" s="693"/>
      <c r="O221" s="693"/>
      <c r="P221" s="693"/>
      <c r="Q221" s="693"/>
    </row>
    <row r="222" spans="1:17" ht="13.5">
      <c r="A222" s="693"/>
      <c r="B222" s="693"/>
      <c r="C222" s="693"/>
      <c r="D222" s="693"/>
      <c r="E222" s="693"/>
      <c r="F222" s="693"/>
      <c r="G222" s="693"/>
      <c r="H222" s="693"/>
      <c r="I222" s="693"/>
      <c r="J222" s="693"/>
      <c r="K222" s="693"/>
      <c r="L222" s="693"/>
      <c r="M222" s="693"/>
      <c r="N222" s="693"/>
      <c r="O222" s="693"/>
      <c r="P222" s="693"/>
      <c r="Q222" s="693"/>
    </row>
    <row r="223" spans="1:17" ht="13.5">
      <c r="A223" s="693"/>
      <c r="B223" s="693"/>
      <c r="C223" s="693"/>
      <c r="D223" s="693"/>
      <c r="E223" s="693"/>
      <c r="F223" s="693"/>
      <c r="G223" s="693"/>
      <c r="H223" s="693"/>
      <c r="I223" s="693"/>
      <c r="J223" s="693"/>
      <c r="K223" s="693"/>
      <c r="L223" s="693"/>
      <c r="M223" s="693"/>
      <c r="N223" s="693"/>
      <c r="O223" s="693"/>
      <c r="P223" s="693"/>
      <c r="Q223" s="693"/>
    </row>
    <row r="224" spans="1:17" ht="13.5">
      <c r="A224" s="693"/>
      <c r="B224" s="693"/>
      <c r="C224" s="693"/>
      <c r="D224" s="693"/>
      <c r="E224" s="693"/>
      <c r="F224" s="693"/>
      <c r="G224" s="693"/>
      <c r="H224" s="693"/>
      <c r="I224" s="693"/>
      <c r="J224" s="693"/>
      <c r="K224" s="693"/>
      <c r="L224" s="693"/>
      <c r="M224" s="693"/>
      <c r="N224" s="693"/>
      <c r="O224" s="693"/>
      <c r="P224" s="693"/>
      <c r="Q224" s="693"/>
    </row>
    <row r="225" spans="1:17" ht="13.5">
      <c r="A225" s="693"/>
      <c r="B225" s="693"/>
      <c r="C225" s="693"/>
      <c r="D225" s="693"/>
      <c r="E225" s="693"/>
      <c r="F225" s="693"/>
      <c r="G225" s="693"/>
      <c r="H225" s="693"/>
      <c r="I225" s="693"/>
      <c r="J225" s="693"/>
      <c r="K225" s="693"/>
      <c r="L225" s="693"/>
      <c r="M225" s="693"/>
      <c r="N225" s="693"/>
      <c r="O225" s="693"/>
      <c r="P225" s="693"/>
      <c r="Q225" s="693"/>
    </row>
    <row r="226" spans="1:17" ht="13.5">
      <c r="A226" s="693"/>
      <c r="B226" s="693"/>
      <c r="C226" s="693"/>
      <c r="D226" s="693"/>
      <c r="E226" s="693"/>
      <c r="F226" s="693"/>
      <c r="G226" s="693"/>
      <c r="H226" s="693"/>
      <c r="I226" s="693"/>
      <c r="J226" s="693"/>
      <c r="K226" s="693"/>
      <c r="L226" s="693"/>
      <c r="M226" s="693"/>
      <c r="N226" s="693"/>
      <c r="O226" s="693"/>
      <c r="P226" s="693"/>
      <c r="Q226" s="693"/>
    </row>
    <row r="227" spans="1:17" ht="13.5">
      <c r="A227" s="693"/>
      <c r="B227" s="693"/>
      <c r="C227" s="693"/>
      <c r="D227" s="693"/>
      <c r="E227" s="693"/>
      <c r="F227" s="693"/>
      <c r="G227" s="693"/>
      <c r="H227" s="693"/>
      <c r="I227" s="693"/>
      <c r="J227" s="693"/>
      <c r="K227" s="693"/>
      <c r="L227" s="693"/>
      <c r="M227" s="693"/>
      <c r="N227" s="693"/>
      <c r="O227" s="693"/>
      <c r="P227" s="693"/>
      <c r="Q227" s="693"/>
    </row>
    <row r="228" spans="1:17" ht="13.5">
      <c r="A228" s="693"/>
      <c r="B228" s="693"/>
      <c r="C228" s="693"/>
      <c r="D228" s="693"/>
      <c r="E228" s="693"/>
      <c r="F228" s="693"/>
      <c r="G228" s="693"/>
      <c r="H228" s="693"/>
      <c r="I228" s="693"/>
      <c r="J228" s="693"/>
      <c r="K228" s="693"/>
      <c r="L228" s="693"/>
      <c r="M228" s="693"/>
      <c r="N228" s="693"/>
      <c r="O228" s="693"/>
      <c r="P228" s="693"/>
      <c r="Q228" s="693"/>
    </row>
    <row r="229" spans="1:17" ht="13.5">
      <c r="A229" s="693"/>
      <c r="B229" s="693"/>
      <c r="C229" s="693"/>
      <c r="D229" s="693"/>
      <c r="E229" s="693"/>
      <c r="F229" s="693"/>
      <c r="G229" s="693"/>
      <c r="H229" s="693"/>
      <c r="I229" s="693"/>
      <c r="J229" s="693"/>
      <c r="K229" s="693"/>
      <c r="L229" s="693"/>
      <c r="M229" s="693"/>
      <c r="N229" s="693"/>
      <c r="O229" s="693"/>
      <c r="P229" s="693"/>
      <c r="Q229" s="693"/>
    </row>
    <row r="230" spans="1:17" ht="13.5">
      <c r="A230" s="693"/>
      <c r="B230" s="693"/>
      <c r="C230" s="693"/>
      <c r="D230" s="693"/>
      <c r="E230" s="693"/>
      <c r="F230" s="693"/>
      <c r="G230" s="693"/>
      <c r="H230" s="693"/>
      <c r="I230" s="693"/>
      <c r="J230" s="693"/>
      <c r="K230" s="693"/>
      <c r="L230" s="693"/>
      <c r="M230" s="693"/>
      <c r="N230" s="693"/>
      <c r="O230" s="693"/>
      <c r="P230" s="693"/>
      <c r="Q230" s="693"/>
    </row>
    <row r="231" spans="1:17" ht="13.5">
      <c r="A231" s="693"/>
      <c r="B231" s="693"/>
      <c r="C231" s="693"/>
      <c r="D231" s="693"/>
      <c r="E231" s="693"/>
      <c r="F231" s="693"/>
      <c r="G231" s="693"/>
      <c r="H231" s="693"/>
      <c r="I231" s="693"/>
      <c r="J231" s="693"/>
      <c r="K231" s="693"/>
      <c r="L231" s="693"/>
      <c r="M231" s="693"/>
      <c r="N231" s="693"/>
      <c r="O231" s="693"/>
      <c r="P231" s="693"/>
      <c r="Q231" s="693"/>
    </row>
    <row r="232" spans="1:17" ht="13.5">
      <c r="A232" s="693"/>
      <c r="B232" s="693"/>
      <c r="C232" s="693"/>
      <c r="D232" s="693"/>
      <c r="E232" s="693"/>
      <c r="F232" s="693"/>
      <c r="G232" s="693"/>
      <c r="H232" s="693"/>
      <c r="I232" s="693"/>
      <c r="J232" s="693"/>
      <c r="K232" s="693"/>
      <c r="L232" s="693"/>
      <c r="M232" s="693"/>
      <c r="N232" s="693"/>
      <c r="O232" s="693"/>
      <c r="P232" s="693"/>
      <c r="Q232" s="693"/>
    </row>
    <row r="233" spans="1:17" ht="13.5">
      <c r="A233" s="693"/>
      <c r="B233" s="693"/>
      <c r="C233" s="693"/>
      <c r="D233" s="693"/>
      <c r="E233" s="693"/>
      <c r="F233" s="693"/>
      <c r="G233" s="693"/>
      <c r="H233" s="693"/>
      <c r="I233" s="693"/>
      <c r="J233" s="693"/>
      <c r="K233" s="693"/>
      <c r="L233" s="693"/>
      <c r="M233" s="693"/>
      <c r="N233" s="693"/>
      <c r="O233" s="693"/>
      <c r="P233" s="693"/>
      <c r="Q233" s="693"/>
    </row>
    <row r="234" spans="1:17" ht="13.5">
      <c r="A234" s="693"/>
      <c r="B234" s="693"/>
      <c r="C234" s="693"/>
      <c r="D234" s="693"/>
      <c r="E234" s="693"/>
      <c r="F234" s="693"/>
      <c r="G234" s="693"/>
      <c r="H234" s="693"/>
      <c r="I234" s="693"/>
      <c r="J234" s="693"/>
      <c r="K234" s="693"/>
      <c r="L234" s="693"/>
      <c r="M234" s="693"/>
      <c r="N234" s="693"/>
      <c r="O234" s="693"/>
      <c r="P234" s="693"/>
      <c r="Q234" s="693"/>
    </row>
    <row r="235" spans="1:17" ht="13.5">
      <c r="A235" s="693"/>
      <c r="B235" s="693"/>
      <c r="C235" s="693"/>
      <c r="D235" s="693"/>
      <c r="E235" s="693"/>
      <c r="F235" s="693"/>
      <c r="G235" s="693"/>
      <c r="H235" s="693"/>
      <c r="I235" s="693"/>
      <c r="J235" s="693"/>
      <c r="K235" s="693"/>
      <c r="L235" s="693"/>
      <c r="M235" s="693"/>
      <c r="N235" s="693"/>
      <c r="O235" s="693"/>
      <c r="P235" s="693"/>
      <c r="Q235" s="693"/>
    </row>
    <row r="236" spans="1:17" ht="13.5">
      <c r="A236" s="693"/>
      <c r="B236" s="693"/>
      <c r="C236" s="693"/>
      <c r="D236" s="693"/>
      <c r="E236" s="693"/>
      <c r="F236" s="693"/>
      <c r="G236" s="693"/>
      <c r="H236" s="693"/>
      <c r="I236" s="693"/>
      <c r="J236" s="693"/>
      <c r="K236" s="693"/>
      <c r="L236" s="693"/>
      <c r="M236" s="693"/>
      <c r="N236" s="693"/>
      <c r="O236" s="693"/>
      <c r="P236" s="693"/>
      <c r="Q236" s="693"/>
    </row>
    <row r="237" spans="1:17" ht="13.5">
      <c r="A237" s="693"/>
      <c r="B237" s="693"/>
      <c r="C237" s="693"/>
      <c r="D237" s="693"/>
      <c r="E237" s="693"/>
      <c r="F237" s="693"/>
      <c r="G237" s="693"/>
      <c r="H237" s="693"/>
      <c r="I237" s="693"/>
      <c r="J237" s="693"/>
      <c r="K237" s="693"/>
      <c r="L237" s="693"/>
      <c r="M237" s="693"/>
      <c r="N237" s="693"/>
      <c r="O237" s="693"/>
      <c r="P237" s="693"/>
      <c r="Q237" s="693"/>
    </row>
    <row r="238" spans="1:17" ht="13.5">
      <c r="A238" s="693"/>
      <c r="B238" s="693"/>
      <c r="C238" s="693"/>
      <c r="D238" s="693"/>
      <c r="E238" s="693"/>
      <c r="F238" s="693"/>
      <c r="G238" s="693"/>
      <c r="H238" s="693"/>
      <c r="I238" s="693"/>
      <c r="J238" s="693"/>
      <c r="K238" s="693"/>
      <c r="L238" s="693"/>
      <c r="M238" s="693"/>
      <c r="N238" s="693"/>
      <c r="O238" s="693"/>
      <c r="P238" s="693"/>
      <c r="Q238" s="693"/>
    </row>
    <row r="239" spans="1:17" ht="13.5">
      <c r="A239" s="693"/>
      <c r="B239" s="693"/>
      <c r="C239" s="693"/>
      <c r="D239" s="693"/>
      <c r="E239" s="693"/>
      <c r="F239" s="693"/>
      <c r="G239" s="693"/>
      <c r="H239" s="693"/>
      <c r="I239" s="693"/>
      <c r="J239" s="693"/>
      <c r="K239" s="693"/>
      <c r="L239" s="693"/>
      <c r="M239" s="693"/>
      <c r="N239" s="693"/>
      <c r="O239" s="693"/>
      <c r="P239" s="693"/>
      <c r="Q239" s="693"/>
    </row>
    <row r="240" spans="1:17" ht="13.5">
      <c r="A240" s="693"/>
      <c r="B240" s="693"/>
      <c r="C240" s="693"/>
      <c r="D240" s="693"/>
      <c r="E240" s="693"/>
      <c r="F240" s="693"/>
      <c r="G240" s="693"/>
      <c r="H240" s="693"/>
      <c r="I240" s="693"/>
      <c r="J240" s="693"/>
      <c r="K240" s="693"/>
      <c r="L240" s="693"/>
      <c r="M240" s="693"/>
      <c r="N240" s="693"/>
      <c r="O240" s="693"/>
      <c r="P240" s="693"/>
      <c r="Q240" s="693"/>
    </row>
    <row r="241" spans="1:17" ht="13.5">
      <c r="A241" s="693"/>
      <c r="B241" s="693"/>
      <c r="C241" s="693"/>
      <c r="D241" s="693"/>
      <c r="E241" s="693"/>
      <c r="F241" s="693"/>
      <c r="G241" s="693"/>
      <c r="H241" s="693"/>
      <c r="I241" s="693"/>
      <c r="J241" s="693"/>
      <c r="K241" s="693"/>
      <c r="L241" s="693"/>
      <c r="M241" s="693"/>
      <c r="N241" s="693"/>
      <c r="O241" s="693"/>
      <c r="P241" s="693"/>
      <c r="Q241" s="693"/>
    </row>
    <row r="242" spans="1:17" ht="13.5">
      <c r="A242" s="693"/>
      <c r="B242" s="693"/>
      <c r="C242" s="693"/>
      <c r="D242" s="693"/>
      <c r="E242" s="693"/>
      <c r="F242" s="693"/>
      <c r="G242" s="693"/>
      <c r="H242" s="693"/>
      <c r="I242" s="693"/>
      <c r="J242" s="693"/>
      <c r="K242" s="693"/>
      <c r="L242" s="693"/>
      <c r="M242" s="693"/>
      <c r="N242" s="693"/>
      <c r="O242" s="693"/>
      <c r="P242" s="693"/>
      <c r="Q242" s="693"/>
    </row>
    <row r="243" spans="1:17" ht="13.5">
      <c r="A243" s="693"/>
      <c r="B243" s="693"/>
      <c r="C243" s="693"/>
      <c r="D243" s="693"/>
      <c r="E243" s="693"/>
      <c r="F243" s="693"/>
      <c r="G243" s="693"/>
      <c r="H243" s="693"/>
      <c r="I243" s="693"/>
      <c r="J243" s="693"/>
      <c r="K243" s="693"/>
      <c r="L243" s="693"/>
      <c r="M243" s="693"/>
      <c r="N243" s="693"/>
      <c r="O243" s="693"/>
      <c r="P243" s="693"/>
      <c r="Q243" s="693"/>
    </row>
    <row r="244" spans="1:17" ht="13.5">
      <c r="A244" s="693"/>
      <c r="B244" s="693"/>
      <c r="C244" s="693"/>
      <c r="D244" s="693"/>
      <c r="E244" s="693"/>
      <c r="F244" s="693"/>
      <c r="G244" s="693"/>
      <c r="H244" s="693"/>
      <c r="I244" s="693"/>
      <c r="J244" s="693"/>
      <c r="K244" s="693"/>
      <c r="L244" s="693"/>
      <c r="M244" s="693"/>
      <c r="N244" s="693"/>
      <c r="O244" s="693"/>
      <c r="P244" s="693"/>
      <c r="Q244" s="693"/>
    </row>
    <row r="245" spans="1:17" ht="13.5">
      <c r="A245" s="693"/>
      <c r="B245" s="693"/>
      <c r="C245" s="693"/>
      <c r="D245" s="693"/>
      <c r="E245" s="693"/>
      <c r="F245" s="693"/>
      <c r="G245" s="693"/>
      <c r="H245" s="693"/>
      <c r="I245" s="693"/>
      <c r="J245" s="693"/>
      <c r="K245" s="693"/>
      <c r="L245" s="693"/>
      <c r="M245" s="693"/>
      <c r="N245" s="693"/>
      <c r="O245" s="693"/>
      <c r="P245" s="693"/>
      <c r="Q245" s="693"/>
    </row>
    <row r="246" spans="1:17" ht="13.5">
      <c r="A246" s="693"/>
      <c r="B246" s="693"/>
      <c r="C246" s="693"/>
      <c r="D246" s="693"/>
      <c r="E246" s="693"/>
      <c r="F246" s="693"/>
      <c r="G246" s="693"/>
      <c r="H246" s="693"/>
      <c r="I246" s="693"/>
      <c r="J246" s="693"/>
      <c r="K246" s="693"/>
      <c r="L246" s="693"/>
      <c r="M246" s="693"/>
      <c r="N246" s="693"/>
      <c r="O246" s="693"/>
      <c r="P246" s="693"/>
      <c r="Q246" s="693"/>
    </row>
    <row r="247" spans="1:17" ht="13.5">
      <c r="A247" s="693"/>
      <c r="B247" s="693"/>
      <c r="C247" s="693"/>
      <c r="D247" s="693"/>
      <c r="E247" s="693"/>
      <c r="F247" s="693"/>
      <c r="G247" s="693"/>
      <c r="H247" s="693"/>
      <c r="I247" s="693"/>
      <c r="J247" s="693"/>
      <c r="K247" s="693"/>
      <c r="L247" s="693"/>
      <c r="M247" s="693"/>
      <c r="N247" s="693"/>
      <c r="O247" s="693"/>
      <c r="P247" s="693"/>
      <c r="Q247" s="693"/>
    </row>
    <row r="248" spans="1:17" ht="13.5">
      <c r="A248" s="693"/>
      <c r="B248" s="693"/>
      <c r="C248" s="693"/>
      <c r="D248" s="693"/>
      <c r="E248" s="693"/>
      <c r="F248" s="693"/>
      <c r="G248" s="693"/>
      <c r="H248" s="693"/>
      <c r="I248" s="693"/>
      <c r="J248" s="693"/>
      <c r="K248" s="693"/>
      <c r="L248" s="693"/>
      <c r="M248" s="693"/>
      <c r="N248" s="693"/>
      <c r="O248" s="693"/>
      <c r="P248" s="693"/>
      <c r="Q248" s="693"/>
    </row>
    <row r="249" spans="1:17" ht="13.5">
      <c r="A249" s="693"/>
      <c r="B249" s="693"/>
      <c r="C249" s="693"/>
      <c r="D249" s="693"/>
      <c r="E249" s="693"/>
      <c r="F249" s="693"/>
      <c r="G249" s="693"/>
      <c r="H249" s="693"/>
      <c r="I249" s="693"/>
      <c r="J249" s="693"/>
      <c r="K249" s="693"/>
      <c r="L249" s="693"/>
      <c r="M249" s="693"/>
      <c r="N249" s="693"/>
      <c r="O249" s="693"/>
      <c r="P249" s="693"/>
      <c r="Q249" s="693"/>
    </row>
    <row r="250" spans="1:17" ht="13.5">
      <c r="A250" s="693"/>
      <c r="B250" s="693"/>
      <c r="C250" s="693"/>
      <c r="D250" s="693"/>
      <c r="E250" s="693"/>
      <c r="F250" s="693"/>
      <c r="G250" s="693"/>
      <c r="H250" s="693"/>
      <c r="I250" s="693"/>
      <c r="J250" s="693"/>
      <c r="K250" s="693"/>
      <c r="L250" s="693"/>
      <c r="M250" s="693"/>
      <c r="N250" s="693"/>
      <c r="O250" s="693"/>
      <c r="P250" s="693"/>
      <c r="Q250" s="693"/>
    </row>
    <row r="251" spans="1:17" ht="13.5">
      <c r="A251" s="693"/>
      <c r="B251" s="693"/>
      <c r="C251" s="693"/>
      <c r="D251" s="693"/>
      <c r="E251" s="693"/>
      <c r="F251" s="693"/>
      <c r="G251" s="693"/>
      <c r="H251" s="693"/>
      <c r="I251" s="693"/>
      <c r="J251" s="693"/>
      <c r="K251" s="693"/>
      <c r="L251" s="693"/>
      <c r="M251" s="693"/>
      <c r="N251" s="693"/>
      <c r="O251" s="693"/>
      <c r="P251" s="693"/>
      <c r="Q251" s="693"/>
    </row>
    <row r="252" spans="1:17" ht="13.5">
      <c r="A252" s="693"/>
      <c r="B252" s="693"/>
      <c r="C252" s="693"/>
      <c r="D252" s="693"/>
      <c r="E252" s="693"/>
      <c r="F252" s="693"/>
      <c r="G252" s="693"/>
      <c r="H252" s="693"/>
      <c r="I252" s="693"/>
      <c r="J252" s="693"/>
      <c r="K252" s="693"/>
      <c r="L252" s="693"/>
      <c r="M252" s="693"/>
      <c r="N252" s="693"/>
      <c r="O252" s="693"/>
      <c r="P252" s="693"/>
      <c r="Q252" s="693"/>
    </row>
    <row r="253" spans="1:17" ht="13.5">
      <c r="A253" s="693"/>
      <c r="B253" s="693"/>
      <c r="C253" s="693"/>
      <c r="D253" s="693"/>
      <c r="E253" s="693"/>
      <c r="F253" s="693"/>
      <c r="G253" s="693"/>
      <c r="H253" s="693"/>
      <c r="I253" s="693"/>
      <c r="J253" s="693"/>
      <c r="K253" s="693"/>
      <c r="L253" s="693"/>
      <c r="M253" s="693"/>
      <c r="N253" s="693"/>
      <c r="O253" s="693"/>
      <c r="P253" s="693"/>
      <c r="Q253" s="693"/>
    </row>
    <row r="254" spans="1:17" ht="13.5">
      <c r="A254" s="693"/>
      <c r="B254" s="693"/>
      <c r="C254" s="693"/>
      <c r="D254" s="693"/>
      <c r="E254" s="693"/>
      <c r="F254" s="693"/>
      <c r="G254" s="693"/>
      <c r="H254" s="693"/>
      <c r="I254" s="693"/>
      <c r="J254" s="693"/>
      <c r="K254" s="693"/>
      <c r="L254" s="693"/>
      <c r="M254" s="693"/>
      <c r="N254" s="693"/>
      <c r="O254" s="693"/>
      <c r="P254" s="693"/>
      <c r="Q254" s="693"/>
    </row>
    <row r="255" spans="1:17" ht="13.5">
      <c r="A255" s="693"/>
      <c r="B255" s="693"/>
      <c r="C255" s="693"/>
      <c r="D255" s="693"/>
      <c r="E255" s="693"/>
      <c r="F255" s="693"/>
      <c r="G255" s="693"/>
      <c r="H255" s="693"/>
      <c r="I255" s="693"/>
      <c r="J255" s="693"/>
      <c r="K255" s="693"/>
      <c r="L255" s="693"/>
      <c r="M255" s="693"/>
      <c r="N255" s="693"/>
      <c r="O255" s="693"/>
      <c r="P255" s="693"/>
      <c r="Q255" s="693"/>
    </row>
    <row r="256" spans="1:17" ht="13.5">
      <c r="A256" s="693"/>
      <c r="B256" s="693"/>
      <c r="C256" s="693"/>
      <c r="D256" s="693"/>
      <c r="E256" s="693"/>
      <c r="F256" s="693"/>
      <c r="G256" s="693"/>
      <c r="H256" s="693"/>
      <c r="I256" s="693"/>
      <c r="J256" s="693"/>
      <c r="K256" s="693"/>
      <c r="L256" s="693"/>
      <c r="M256" s="693"/>
      <c r="N256" s="693"/>
      <c r="O256" s="693"/>
      <c r="P256" s="693"/>
      <c r="Q256" s="693"/>
    </row>
    <row r="257" spans="1:17" ht="13.5">
      <c r="A257" s="693"/>
      <c r="B257" s="693"/>
      <c r="C257" s="693"/>
      <c r="D257" s="693"/>
      <c r="E257" s="693"/>
      <c r="F257" s="693"/>
      <c r="G257" s="693"/>
      <c r="H257" s="693"/>
      <c r="I257" s="693"/>
      <c r="J257" s="693"/>
      <c r="K257" s="693"/>
      <c r="L257" s="693"/>
      <c r="M257" s="693"/>
      <c r="N257" s="693"/>
      <c r="O257" s="693"/>
      <c r="P257" s="693"/>
      <c r="Q257" s="693"/>
    </row>
    <row r="258" spans="1:17" ht="13.5">
      <c r="A258" s="693"/>
      <c r="B258" s="693"/>
      <c r="C258" s="693"/>
      <c r="D258" s="693"/>
      <c r="E258" s="693"/>
      <c r="F258" s="693"/>
      <c r="G258" s="693"/>
      <c r="H258" s="693"/>
      <c r="I258" s="693"/>
      <c r="J258" s="693"/>
      <c r="K258" s="693"/>
      <c r="L258" s="693"/>
      <c r="M258" s="693"/>
      <c r="N258" s="693"/>
      <c r="O258" s="693"/>
      <c r="P258" s="693"/>
      <c r="Q258" s="693"/>
    </row>
    <row r="259" spans="1:17" ht="13.5">
      <c r="A259" s="693"/>
      <c r="B259" s="693"/>
      <c r="C259" s="693"/>
      <c r="D259" s="693"/>
      <c r="E259" s="693"/>
      <c r="F259" s="693"/>
      <c r="G259" s="693"/>
      <c r="H259" s="693"/>
      <c r="I259" s="693"/>
      <c r="J259" s="693"/>
      <c r="K259" s="693"/>
      <c r="L259" s="693"/>
      <c r="M259" s="693"/>
      <c r="N259" s="693"/>
      <c r="O259" s="693"/>
      <c r="P259" s="693"/>
      <c r="Q259" s="693"/>
    </row>
    <row r="260" spans="1:17" ht="13.5">
      <c r="A260" s="693"/>
      <c r="B260" s="693"/>
      <c r="C260" s="693"/>
      <c r="D260" s="693"/>
      <c r="E260" s="693"/>
      <c r="F260" s="693"/>
      <c r="G260" s="693"/>
      <c r="H260" s="693"/>
      <c r="I260" s="693"/>
      <c r="J260" s="693"/>
      <c r="K260" s="693"/>
      <c r="L260" s="693"/>
      <c r="M260" s="693"/>
      <c r="N260" s="693"/>
      <c r="O260" s="693"/>
      <c r="P260" s="693"/>
      <c r="Q260" s="693"/>
    </row>
    <row r="261" spans="1:17" ht="13.5">
      <c r="A261" s="693"/>
      <c r="B261" s="693"/>
      <c r="C261" s="693"/>
      <c r="D261" s="693"/>
      <c r="E261" s="693"/>
      <c r="F261" s="693"/>
      <c r="G261" s="693"/>
      <c r="H261" s="693"/>
      <c r="I261" s="693"/>
      <c r="J261" s="693"/>
      <c r="K261" s="693"/>
      <c r="L261" s="693"/>
      <c r="M261" s="693"/>
      <c r="N261" s="693"/>
      <c r="O261" s="693"/>
      <c r="P261" s="693"/>
      <c r="Q261" s="693"/>
    </row>
    <row r="262" spans="1:17" ht="13.5">
      <c r="A262" s="693"/>
      <c r="B262" s="693"/>
      <c r="C262" s="693"/>
      <c r="D262" s="693"/>
      <c r="E262" s="693"/>
      <c r="F262" s="693"/>
      <c r="G262" s="693"/>
      <c r="H262" s="693"/>
      <c r="I262" s="693"/>
      <c r="J262" s="693"/>
      <c r="K262" s="693"/>
      <c r="L262" s="693"/>
      <c r="M262" s="693"/>
      <c r="N262" s="693"/>
      <c r="O262" s="693"/>
      <c r="P262" s="693"/>
      <c r="Q262" s="693"/>
    </row>
    <row r="263" spans="1:17" ht="13.5">
      <c r="A263" s="693"/>
      <c r="B263" s="693"/>
      <c r="C263" s="693"/>
      <c r="D263" s="693"/>
      <c r="E263" s="693"/>
      <c r="F263" s="693"/>
      <c r="G263" s="693"/>
      <c r="H263" s="693"/>
      <c r="I263" s="693"/>
      <c r="J263" s="693"/>
      <c r="K263" s="693"/>
      <c r="L263" s="693"/>
      <c r="M263" s="693"/>
      <c r="N263" s="693"/>
      <c r="O263" s="693"/>
      <c r="P263" s="693"/>
      <c r="Q263" s="693"/>
    </row>
    <row r="264" spans="1:17" ht="13.5">
      <c r="A264" s="693"/>
      <c r="B264" s="693"/>
      <c r="C264" s="693"/>
      <c r="D264" s="693"/>
      <c r="E264" s="693"/>
      <c r="F264" s="693"/>
      <c r="G264" s="693"/>
      <c r="H264" s="693"/>
      <c r="I264" s="693"/>
      <c r="J264" s="693"/>
      <c r="K264" s="693"/>
      <c r="L264" s="693"/>
      <c r="M264" s="693"/>
      <c r="N264" s="693"/>
      <c r="O264" s="693"/>
      <c r="P264" s="693"/>
      <c r="Q264" s="693"/>
    </row>
    <row r="265" spans="1:17" ht="13.5">
      <c r="A265" s="693"/>
      <c r="B265" s="693"/>
      <c r="C265" s="693"/>
      <c r="D265" s="693"/>
      <c r="E265" s="693"/>
      <c r="F265" s="693"/>
      <c r="G265" s="693"/>
      <c r="H265" s="693"/>
      <c r="I265" s="693"/>
      <c r="J265" s="693"/>
      <c r="K265" s="693"/>
      <c r="L265" s="693"/>
      <c r="M265" s="693"/>
      <c r="N265" s="693"/>
      <c r="O265" s="693"/>
      <c r="P265" s="693"/>
      <c r="Q265" s="693"/>
    </row>
    <row r="266" spans="1:17" ht="13.5">
      <c r="A266" s="693"/>
      <c r="B266" s="693"/>
      <c r="C266" s="693"/>
      <c r="D266" s="693"/>
      <c r="E266" s="693"/>
      <c r="F266" s="693"/>
      <c r="G266" s="693"/>
      <c r="H266" s="693"/>
      <c r="I266" s="693"/>
      <c r="J266" s="693"/>
      <c r="K266" s="693"/>
      <c r="L266" s="693"/>
      <c r="M266" s="693"/>
      <c r="N266" s="693"/>
      <c r="O266" s="693"/>
      <c r="P266" s="693"/>
      <c r="Q266" s="693"/>
    </row>
    <row r="267" spans="1:17" ht="13.5">
      <c r="A267" s="693"/>
      <c r="B267" s="693"/>
      <c r="C267" s="693"/>
      <c r="D267" s="693"/>
      <c r="E267" s="693"/>
      <c r="F267" s="693"/>
      <c r="G267" s="693"/>
      <c r="H267" s="693"/>
      <c r="I267" s="693"/>
      <c r="J267" s="693"/>
      <c r="K267" s="693"/>
      <c r="L267" s="693"/>
      <c r="M267" s="693"/>
      <c r="N267" s="693"/>
      <c r="O267" s="693"/>
      <c r="P267" s="693"/>
      <c r="Q267" s="693"/>
    </row>
    <row r="268" spans="1:17" ht="13.5">
      <c r="A268" s="693"/>
      <c r="B268" s="693"/>
      <c r="C268" s="693"/>
      <c r="D268" s="693"/>
      <c r="E268" s="693"/>
      <c r="F268" s="693"/>
      <c r="G268" s="693"/>
      <c r="H268" s="693"/>
      <c r="I268" s="693"/>
      <c r="J268" s="693"/>
      <c r="K268" s="693"/>
      <c r="L268" s="693"/>
      <c r="M268" s="693"/>
      <c r="N268" s="693"/>
      <c r="O268" s="693"/>
      <c r="P268" s="693"/>
      <c r="Q268" s="693"/>
    </row>
    <row r="269" spans="1:17" ht="13.5">
      <c r="A269" s="693"/>
      <c r="B269" s="693"/>
      <c r="C269" s="693"/>
      <c r="D269" s="693"/>
      <c r="E269" s="693"/>
      <c r="F269" s="693"/>
      <c r="G269" s="693"/>
      <c r="H269" s="693"/>
      <c r="I269" s="693"/>
      <c r="J269" s="693"/>
      <c r="K269" s="693"/>
      <c r="L269" s="693"/>
      <c r="M269" s="693"/>
      <c r="N269" s="693"/>
      <c r="O269" s="693"/>
      <c r="P269" s="693"/>
      <c r="Q269" s="693"/>
    </row>
    <row r="270" spans="1:17" ht="13.5">
      <c r="A270" s="693"/>
      <c r="B270" s="693"/>
      <c r="C270" s="693"/>
      <c r="D270" s="693"/>
      <c r="E270" s="693"/>
      <c r="F270" s="693"/>
      <c r="G270" s="693"/>
      <c r="H270" s="693"/>
      <c r="I270" s="693"/>
      <c r="J270" s="693"/>
      <c r="K270" s="693"/>
      <c r="L270" s="693"/>
      <c r="M270" s="693"/>
      <c r="N270" s="693"/>
      <c r="O270" s="693"/>
      <c r="P270" s="693"/>
      <c r="Q270" s="693"/>
    </row>
    <row r="271" spans="1:17" ht="13.5">
      <c r="A271" s="693"/>
      <c r="B271" s="693"/>
      <c r="C271" s="693"/>
      <c r="D271" s="693"/>
      <c r="E271" s="693"/>
      <c r="F271" s="693"/>
      <c r="G271" s="693"/>
      <c r="H271" s="693"/>
      <c r="I271" s="693"/>
      <c r="J271" s="693"/>
      <c r="K271" s="693"/>
      <c r="L271" s="693"/>
      <c r="M271" s="693"/>
      <c r="N271" s="693"/>
      <c r="O271" s="693"/>
      <c r="P271" s="693"/>
      <c r="Q271" s="693"/>
    </row>
    <row r="272" spans="1:17" ht="13.5">
      <c r="A272" s="693"/>
      <c r="B272" s="693"/>
      <c r="C272" s="693"/>
      <c r="D272" s="693"/>
      <c r="E272" s="693"/>
      <c r="F272" s="693"/>
      <c r="G272" s="693"/>
      <c r="H272" s="693"/>
      <c r="I272" s="693"/>
      <c r="J272" s="693"/>
      <c r="K272" s="693"/>
      <c r="L272" s="693"/>
      <c r="M272" s="693"/>
      <c r="N272" s="693"/>
      <c r="O272" s="693"/>
      <c r="P272" s="693"/>
      <c r="Q272" s="693"/>
    </row>
    <row r="273" spans="1:17" ht="13.5">
      <c r="A273" s="693"/>
      <c r="B273" s="693"/>
      <c r="C273" s="693"/>
      <c r="D273" s="693"/>
      <c r="E273" s="693"/>
      <c r="F273" s="693"/>
      <c r="G273" s="693"/>
      <c r="H273" s="693"/>
      <c r="I273" s="693"/>
      <c r="J273" s="693"/>
      <c r="K273" s="693"/>
      <c r="L273" s="693"/>
      <c r="M273" s="693"/>
      <c r="N273" s="693"/>
      <c r="O273" s="693"/>
      <c r="P273" s="693"/>
      <c r="Q273" s="693"/>
    </row>
    <row r="274" spans="1:17" ht="13.5">
      <c r="A274" s="693"/>
      <c r="B274" s="693"/>
      <c r="C274" s="693"/>
      <c r="D274" s="693"/>
      <c r="E274" s="693"/>
      <c r="F274" s="693"/>
      <c r="G274" s="693"/>
      <c r="H274" s="693"/>
      <c r="I274" s="693"/>
      <c r="J274" s="693"/>
      <c r="K274" s="693"/>
      <c r="L274" s="693"/>
      <c r="M274" s="693"/>
      <c r="N274" s="693"/>
      <c r="O274" s="693"/>
      <c r="P274" s="693"/>
      <c r="Q274" s="693"/>
    </row>
    <row r="275" spans="1:17" ht="13.5">
      <c r="A275" s="693"/>
      <c r="B275" s="693"/>
      <c r="C275" s="693"/>
      <c r="D275" s="693"/>
      <c r="E275" s="693"/>
      <c r="F275" s="693"/>
      <c r="G275" s="693"/>
      <c r="H275" s="693"/>
      <c r="I275" s="693"/>
      <c r="J275" s="693"/>
      <c r="K275" s="693"/>
      <c r="L275" s="693"/>
      <c r="M275" s="693"/>
      <c r="N275" s="693"/>
      <c r="O275" s="693"/>
      <c r="P275" s="693"/>
      <c r="Q275" s="693"/>
    </row>
    <row r="276" spans="1:17" ht="13.5">
      <c r="A276" s="693"/>
      <c r="B276" s="693"/>
      <c r="C276" s="693"/>
      <c r="D276" s="693"/>
      <c r="E276" s="693"/>
      <c r="F276" s="693"/>
      <c r="G276" s="693"/>
      <c r="H276" s="693"/>
      <c r="I276" s="693"/>
      <c r="J276" s="693"/>
      <c r="K276" s="693"/>
      <c r="L276" s="693"/>
      <c r="M276" s="693"/>
      <c r="N276" s="693"/>
      <c r="O276" s="693"/>
      <c r="P276" s="693"/>
      <c r="Q276" s="693"/>
    </row>
    <row r="277" spans="1:17" ht="13.5">
      <c r="A277" s="693"/>
      <c r="B277" s="693"/>
      <c r="C277" s="693"/>
      <c r="D277" s="693"/>
      <c r="E277" s="693"/>
      <c r="F277" s="693"/>
      <c r="G277" s="693"/>
      <c r="H277" s="693"/>
      <c r="I277" s="693"/>
      <c r="J277" s="693"/>
      <c r="K277" s="693"/>
      <c r="L277" s="693"/>
      <c r="M277" s="693"/>
      <c r="N277" s="693"/>
      <c r="O277" s="693"/>
      <c r="P277" s="693"/>
      <c r="Q277" s="693"/>
    </row>
    <row r="278" spans="1:17" ht="13.5">
      <c r="A278" s="693"/>
      <c r="B278" s="693"/>
      <c r="C278" s="693"/>
      <c r="D278" s="693"/>
      <c r="E278" s="693"/>
      <c r="F278" s="693"/>
      <c r="G278" s="693"/>
      <c r="H278" s="693"/>
      <c r="I278" s="693"/>
      <c r="J278" s="693"/>
      <c r="K278" s="693"/>
      <c r="L278" s="693"/>
      <c r="M278" s="693"/>
      <c r="N278" s="693"/>
      <c r="O278" s="693"/>
      <c r="P278" s="693"/>
      <c r="Q278" s="693"/>
    </row>
    <row r="279" spans="1:17" ht="13.5">
      <c r="A279" s="693"/>
      <c r="B279" s="693"/>
      <c r="C279" s="693"/>
      <c r="D279" s="693"/>
      <c r="E279" s="693"/>
      <c r="F279" s="693"/>
      <c r="G279" s="693"/>
      <c r="H279" s="693"/>
      <c r="I279" s="693"/>
      <c r="J279" s="693"/>
      <c r="K279" s="693"/>
      <c r="L279" s="693"/>
      <c r="M279" s="693"/>
      <c r="N279" s="693"/>
      <c r="O279" s="693"/>
      <c r="P279" s="693"/>
      <c r="Q279" s="693"/>
    </row>
    <row r="280" spans="1:17" ht="13.5">
      <c r="A280" s="693"/>
      <c r="B280" s="693"/>
      <c r="C280" s="693"/>
      <c r="D280" s="693"/>
      <c r="E280" s="693"/>
      <c r="F280" s="693"/>
      <c r="G280" s="693"/>
      <c r="H280" s="693"/>
      <c r="I280" s="693"/>
      <c r="J280" s="693"/>
      <c r="K280" s="693"/>
      <c r="L280" s="693"/>
      <c r="M280" s="693"/>
      <c r="N280" s="693"/>
      <c r="O280" s="693"/>
      <c r="P280" s="693"/>
      <c r="Q280" s="693"/>
    </row>
    <row r="281" spans="1:17" ht="13.5">
      <c r="A281" s="693"/>
      <c r="B281" s="693"/>
      <c r="C281" s="693"/>
      <c r="D281" s="693"/>
      <c r="E281" s="693"/>
      <c r="F281" s="693"/>
      <c r="G281" s="693"/>
      <c r="H281" s="693"/>
      <c r="I281" s="693"/>
      <c r="J281" s="693"/>
      <c r="K281" s="693"/>
      <c r="L281" s="693"/>
      <c r="M281" s="693"/>
      <c r="N281" s="693"/>
      <c r="O281" s="693"/>
      <c r="P281" s="693"/>
      <c r="Q281" s="693"/>
    </row>
    <row r="282" spans="1:17" ht="13.5">
      <c r="A282" s="693"/>
      <c r="B282" s="693"/>
      <c r="C282" s="693"/>
      <c r="D282" s="693"/>
      <c r="E282" s="693"/>
      <c r="F282" s="693"/>
      <c r="G282" s="693"/>
      <c r="H282" s="693"/>
      <c r="I282" s="693"/>
      <c r="J282" s="693"/>
      <c r="K282" s="693"/>
      <c r="L282" s="693"/>
      <c r="M282" s="693"/>
      <c r="N282" s="693"/>
      <c r="O282" s="693"/>
      <c r="P282" s="693"/>
      <c r="Q282" s="693"/>
    </row>
    <row r="283" spans="1:17" ht="13.5">
      <c r="A283" s="693"/>
      <c r="B283" s="693"/>
      <c r="C283" s="693"/>
      <c r="D283" s="693"/>
      <c r="E283" s="693"/>
      <c r="F283" s="693"/>
      <c r="G283" s="693"/>
      <c r="H283" s="693"/>
      <c r="I283" s="693"/>
      <c r="J283" s="693"/>
      <c r="K283" s="693"/>
      <c r="L283" s="693"/>
      <c r="M283" s="693"/>
      <c r="N283" s="693"/>
      <c r="O283" s="693"/>
      <c r="P283" s="693"/>
      <c r="Q283" s="693"/>
    </row>
    <row r="284" spans="1:17" ht="13.5">
      <c r="A284" s="693"/>
      <c r="B284" s="693"/>
      <c r="C284" s="693"/>
      <c r="D284" s="693"/>
      <c r="E284" s="693"/>
      <c r="F284" s="693"/>
      <c r="G284" s="693"/>
      <c r="H284" s="693"/>
      <c r="I284" s="693"/>
      <c r="J284" s="693"/>
      <c r="K284" s="693"/>
      <c r="L284" s="693"/>
      <c r="M284" s="693"/>
      <c r="N284" s="693"/>
      <c r="O284" s="693"/>
      <c r="P284" s="693"/>
      <c r="Q284" s="693"/>
    </row>
    <row r="285" spans="1:17" ht="13.5">
      <c r="A285" s="693"/>
      <c r="B285" s="693"/>
      <c r="C285" s="693"/>
      <c r="D285" s="693"/>
      <c r="E285" s="693"/>
      <c r="F285" s="693"/>
      <c r="G285" s="693"/>
      <c r="H285" s="693"/>
      <c r="I285" s="693"/>
      <c r="J285" s="693"/>
      <c r="K285" s="693"/>
      <c r="L285" s="693"/>
      <c r="M285" s="693"/>
      <c r="N285" s="693"/>
      <c r="O285" s="693"/>
      <c r="P285" s="693"/>
      <c r="Q285" s="693"/>
    </row>
    <row r="286" spans="1:17" ht="13.5">
      <c r="A286" s="693"/>
      <c r="B286" s="693"/>
      <c r="C286" s="693"/>
      <c r="D286" s="693"/>
      <c r="E286" s="693"/>
      <c r="F286" s="693"/>
      <c r="G286" s="693"/>
      <c r="H286" s="693"/>
      <c r="I286" s="693"/>
      <c r="J286" s="693"/>
      <c r="K286" s="693"/>
      <c r="L286" s="693"/>
      <c r="M286" s="693"/>
      <c r="N286" s="693"/>
      <c r="O286" s="693"/>
      <c r="P286" s="693"/>
      <c r="Q286" s="693"/>
    </row>
    <row r="287" spans="1:17" ht="13.5">
      <c r="A287" s="693"/>
      <c r="B287" s="693"/>
      <c r="C287" s="693"/>
      <c r="D287" s="693"/>
      <c r="E287" s="693"/>
      <c r="F287" s="693"/>
      <c r="G287" s="693"/>
      <c r="H287" s="693"/>
      <c r="I287" s="693"/>
      <c r="J287" s="693"/>
      <c r="K287" s="693"/>
      <c r="L287" s="693"/>
      <c r="M287" s="693"/>
      <c r="N287" s="693"/>
      <c r="O287" s="693"/>
      <c r="P287" s="693"/>
      <c r="Q287" s="693"/>
    </row>
    <row r="288" spans="1:17" ht="13.5">
      <c r="A288" s="693"/>
      <c r="B288" s="693"/>
      <c r="C288" s="693"/>
      <c r="D288" s="693"/>
      <c r="E288" s="693"/>
      <c r="F288" s="693"/>
      <c r="G288" s="693"/>
      <c r="H288" s="693"/>
      <c r="I288" s="693"/>
      <c r="J288" s="693"/>
      <c r="K288" s="693"/>
      <c r="L288" s="693"/>
      <c r="M288" s="693"/>
      <c r="N288" s="693"/>
      <c r="O288" s="693"/>
      <c r="P288" s="693"/>
      <c r="Q288" s="693"/>
    </row>
    <row r="289" spans="1:17" ht="13.5">
      <c r="A289" s="693"/>
      <c r="B289" s="693"/>
      <c r="C289" s="693"/>
      <c r="D289" s="693"/>
      <c r="E289" s="693"/>
      <c r="F289" s="693"/>
      <c r="G289" s="693"/>
      <c r="H289" s="693"/>
      <c r="I289" s="693"/>
      <c r="J289" s="693"/>
      <c r="K289" s="693"/>
      <c r="L289" s="693"/>
      <c r="M289" s="693"/>
      <c r="N289" s="693"/>
      <c r="O289" s="693"/>
      <c r="P289" s="693"/>
      <c r="Q289" s="693"/>
    </row>
    <row r="290" spans="1:17" ht="13.5">
      <c r="A290" s="693"/>
      <c r="B290" s="693"/>
      <c r="C290" s="693"/>
      <c r="D290" s="693"/>
      <c r="E290" s="693"/>
      <c r="F290" s="693"/>
      <c r="G290" s="693"/>
      <c r="H290" s="693"/>
      <c r="I290" s="693"/>
      <c r="J290" s="693"/>
      <c r="K290" s="693"/>
      <c r="L290" s="693"/>
      <c r="M290" s="693"/>
      <c r="N290" s="693"/>
      <c r="O290" s="693"/>
      <c r="P290" s="693"/>
      <c r="Q290" s="693"/>
    </row>
    <row r="291" spans="1:17" ht="13.5">
      <c r="A291" s="693"/>
      <c r="B291" s="693"/>
      <c r="C291" s="693"/>
      <c r="D291" s="693"/>
      <c r="E291" s="693"/>
      <c r="F291" s="693"/>
      <c r="G291" s="693"/>
      <c r="H291" s="693"/>
      <c r="I291" s="693"/>
      <c r="J291" s="693"/>
      <c r="K291" s="693"/>
      <c r="L291" s="693"/>
      <c r="M291" s="693"/>
      <c r="N291" s="693"/>
      <c r="O291" s="693"/>
      <c r="P291" s="693"/>
      <c r="Q291" s="693"/>
    </row>
    <row r="292" spans="1:17" ht="13.5">
      <c r="A292" s="693"/>
      <c r="B292" s="693"/>
      <c r="C292" s="693"/>
      <c r="D292" s="693"/>
      <c r="E292" s="693"/>
      <c r="F292" s="693"/>
      <c r="G292" s="693"/>
      <c r="H292" s="693"/>
      <c r="I292" s="693"/>
      <c r="J292" s="693"/>
      <c r="K292" s="693"/>
      <c r="L292" s="693"/>
      <c r="M292" s="693"/>
      <c r="N292" s="693"/>
      <c r="O292" s="693"/>
      <c r="P292" s="693"/>
      <c r="Q292" s="693"/>
    </row>
    <row r="293" spans="1:17" ht="13.5">
      <c r="A293" s="693"/>
      <c r="B293" s="693"/>
      <c r="C293" s="693"/>
      <c r="D293" s="693"/>
      <c r="E293" s="693"/>
      <c r="F293" s="693"/>
      <c r="G293" s="693"/>
      <c r="H293" s="693"/>
      <c r="I293" s="693"/>
      <c r="J293" s="693"/>
      <c r="K293" s="693"/>
      <c r="L293" s="693"/>
      <c r="M293" s="693"/>
      <c r="N293" s="693"/>
      <c r="O293" s="693"/>
      <c r="P293" s="693"/>
      <c r="Q293" s="693"/>
    </row>
    <row r="294" spans="1:17" ht="13.5">
      <c r="A294" s="693"/>
      <c r="B294" s="693"/>
      <c r="C294" s="693"/>
      <c r="D294" s="693"/>
      <c r="E294" s="693"/>
      <c r="F294" s="693"/>
      <c r="G294" s="693"/>
      <c r="H294" s="693"/>
      <c r="I294" s="693"/>
      <c r="J294" s="693"/>
      <c r="K294" s="693"/>
      <c r="L294" s="693"/>
      <c r="M294" s="693"/>
      <c r="N294" s="693"/>
      <c r="O294" s="693"/>
      <c r="P294" s="693"/>
      <c r="Q294" s="693"/>
    </row>
    <row r="295" spans="1:17" ht="13.5">
      <c r="A295" s="693"/>
      <c r="B295" s="693"/>
      <c r="C295" s="693"/>
      <c r="D295" s="693"/>
      <c r="E295" s="693"/>
      <c r="F295" s="693"/>
      <c r="G295" s="693"/>
      <c r="H295" s="693"/>
      <c r="I295" s="693"/>
      <c r="J295" s="693"/>
      <c r="K295" s="693"/>
      <c r="L295" s="693"/>
      <c r="M295" s="693"/>
      <c r="N295" s="693"/>
      <c r="O295" s="693"/>
      <c r="P295" s="693"/>
      <c r="Q295" s="693"/>
    </row>
    <row r="296" spans="1:17" ht="13.5">
      <c r="A296" s="693"/>
      <c r="B296" s="693"/>
      <c r="C296" s="693"/>
      <c r="D296" s="693"/>
      <c r="E296" s="693"/>
      <c r="F296" s="693"/>
      <c r="G296" s="693"/>
      <c r="H296" s="693"/>
      <c r="I296" s="693"/>
      <c r="J296" s="693"/>
      <c r="K296" s="693"/>
      <c r="L296" s="693"/>
      <c r="M296" s="693"/>
      <c r="N296" s="693"/>
      <c r="O296" s="693"/>
      <c r="P296" s="693"/>
      <c r="Q296" s="693"/>
    </row>
    <row r="297" spans="1:17" ht="13.5">
      <c r="A297" s="693"/>
      <c r="B297" s="693"/>
      <c r="C297" s="693"/>
      <c r="D297" s="693"/>
      <c r="E297" s="693"/>
      <c r="F297" s="693"/>
      <c r="G297" s="693"/>
      <c r="H297" s="693"/>
      <c r="I297" s="693"/>
      <c r="J297" s="693"/>
      <c r="K297" s="693"/>
      <c r="L297" s="693"/>
      <c r="M297" s="693"/>
      <c r="N297" s="693"/>
      <c r="O297" s="693"/>
      <c r="P297" s="693"/>
      <c r="Q297" s="693"/>
    </row>
    <row r="298" spans="1:17" ht="13.5">
      <c r="A298" s="693"/>
      <c r="B298" s="693"/>
      <c r="C298" s="693"/>
      <c r="D298" s="693"/>
      <c r="E298" s="693"/>
      <c r="F298" s="693"/>
      <c r="G298" s="693"/>
      <c r="H298" s="693"/>
      <c r="I298" s="693"/>
      <c r="J298" s="693"/>
      <c r="K298" s="693"/>
      <c r="L298" s="693"/>
      <c r="M298" s="693"/>
      <c r="N298" s="693"/>
      <c r="O298" s="693"/>
      <c r="P298" s="693"/>
      <c r="Q298" s="693"/>
    </row>
    <row r="299" spans="1:17" ht="13.5">
      <c r="A299" s="693"/>
      <c r="B299" s="693"/>
      <c r="C299" s="693"/>
      <c r="D299" s="693"/>
      <c r="E299" s="693"/>
      <c r="F299" s="693"/>
      <c r="G299" s="693"/>
      <c r="H299" s="693"/>
      <c r="I299" s="693"/>
      <c r="J299" s="693"/>
      <c r="K299" s="693"/>
      <c r="L299" s="693"/>
      <c r="M299" s="693"/>
      <c r="N299" s="693"/>
      <c r="O299" s="693"/>
      <c r="P299" s="693"/>
      <c r="Q299" s="693"/>
    </row>
    <row r="300" spans="1:17" ht="13.5">
      <c r="A300" s="693"/>
      <c r="B300" s="693"/>
      <c r="C300" s="693"/>
      <c r="D300" s="693"/>
      <c r="E300" s="693"/>
      <c r="F300" s="693"/>
      <c r="G300" s="693"/>
      <c r="H300" s="693"/>
      <c r="I300" s="693"/>
      <c r="J300" s="693"/>
      <c r="K300" s="693"/>
      <c r="L300" s="693"/>
      <c r="M300" s="693"/>
      <c r="N300" s="693"/>
      <c r="O300" s="693"/>
      <c r="P300" s="693"/>
      <c r="Q300" s="693"/>
    </row>
    <row r="301" spans="1:17" ht="13.5">
      <c r="A301" s="693"/>
      <c r="B301" s="693"/>
      <c r="C301" s="693"/>
      <c r="D301" s="693"/>
      <c r="E301" s="693"/>
      <c r="F301" s="693"/>
      <c r="G301" s="693"/>
      <c r="H301" s="693"/>
      <c r="I301" s="693"/>
      <c r="J301" s="693"/>
      <c r="K301" s="693"/>
      <c r="L301" s="693"/>
      <c r="M301" s="693"/>
      <c r="N301" s="693"/>
      <c r="O301" s="693"/>
      <c r="P301" s="693"/>
      <c r="Q301" s="693"/>
    </row>
    <row r="302" spans="1:17" ht="13.5">
      <c r="A302" s="693"/>
      <c r="B302" s="693"/>
      <c r="C302" s="693"/>
      <c r="D302" s="693"/>
      <c r="E302" s="693"/>
      <c r="F302" s="693"/>
      <c r="G302" s="693"/>
      <c r="H302" s="693"/>
      <c r="I302" s="693"/>
      <c r="J302" s="693"/>
      <c r="K302" s="693"/>
      <c r="L302" s="693"/>
      <c r="M302" s="693"/>
      <c r="N302" s="693"/>
      <c r="O302" s="693"/>
      <c r="P302" s="693"/>
      <c r="Q302" s="693"/>
    </row>
    <row r="303" spans="1:17" ht="13.5">
      <c r="A303" s="693"/>
      <c r="B303" s="693"/>
      <c r="C303" s="693"/>
      <c r="D303" s="693"/>
      <c r="E303" s="693"/>
      <c r="F303" s="693"/>
      <c r="G303" s="693"/>
      <c r="H303" s="693"/>
      <c r="I303" s="693"/>
      <c r="J303" s="693"/>
      <c r="K303" s="693"/>
      <c r="L303" s="693"/>
      <c r="M303" s="693"/>
      <c r="N303" s="693"/>
      <c r="O303" s="693"/>
      <c r="P303" s="693"/>
      <c r="Q303" s="693"/>
    </row>
    <row r="304" spans="1:17" ht="13.5">
      <c r="A304" s="693"/>
      <c r="B304" s="693"/>
      <c r="C304" s="693"/>
      <c r="D304" s="693"/>
      <c r="E304" s="693"/>
      <c r="F304" s="693"/>
      <c r="G304" s="693"/>
      <c r="H304" s="693"/>
      <c r="I304" s="693"/>
      <c r="J304" s="693"/>
      <c r="K304" s="693"/>
      <c r="L304" s="693"/>
      <c r="M304" s="693"/>
      <c r="N304" s="693"/>
      <c r="O304" s="693"/>
      <c r="P304" s="693"/>
      <c r="Q304" s="693"/>
    </row>
    <row r="305" spans="1:17" ht="13.5">
      <c r="A305" s="693"/>
      <c r="B305" s="693"/>
      <c r="C305" s="693"/>
      <c r="D305" s="693"/>
      <c r="E305" s="693"/>
      <c r="F305" s="693"/>
      <c r="G305" s="693"/>
      <c r="H305" s="693"/>
      <c r="I305" s="693"/>
      <c r="J305" s="693"/>
      <c r="K305" s="693"/>
      <c r="L305" s="693"/>
      <c r="M305" s="693"/>
      <c r="N305" s="693"/>
      <c r="O305" s="693"/>
      <c r="P305" s="693"/>
      <c r="Q305" s="693"/>
    </row>
    <row r="306" spans="1:17" ht="13.5">
      <c r="A306" s="693"/>
      <c r="B306" s="693"/>
      <c r="C306" s="693"/>
      <c r="D306" s="693"/>
      <c r="E306" s="693"/>
      <c r="F306" s="693"/>
      <c r="G306" s="693"/>
      <c r="H306" s="693"/>
      <c r="I306" s="693"/>
      <c r="J306" s="693"/>
      <c r="K306" s="693"/>
      <c r="L306" s="693"/>
      <c r="M306" s="693"/>
      <c r="N306" s="693"/>
      <c r="O306" s="693"/>
      <c r="P306" s="693"/>
      <c r="Q306" s="693"/>
    </row>
    <row r="307" spans="1:17" ht="13.5">
      <c r="A307" s="693"/>
      <c r="B307" s="693"/>
      <c r="C307" s="693"/>
      <c r="D307" s="693"/>
      <c r="E307" s="693"/>
      <c r="F307" s="693"/>
      <c r="G307" s="693"/>
      <c r="H307" s="693"/>
      <c r="I307" s="693"/>
      <c r="J307" s="693"/>
      <c r="K307" s="693"/>
      <c r="L307" s="693"/>
      <c r="M307" s="693"/>
      <c r="N307" s="693"/>
      <c r="O307" s="693"/>
      <c r="P307" s="693"/>
      <c r="Q307" s="693"/>
    </row>
    <row r="308" spans="1:17" ht="13.5">
      <c r="A308" s="693"/>
      <c r="B308" s="693"/>
      <c r="C308" s="693"/>
      <c r="D308" s="693"/>
      <c r="E308" s="693"/>
      <c r="F308" s="693"/>
      <c r="G308" s="693"/>
      <c r="H308" s="693"/>
      <c r="I308" s="693"/>
      <c r="J308" s="693"/>
      <c r="K308" s="693"/>
      <c r="L308" s="693"/>
      <c r="M308" s="693"/>
      <c r="N308" s="693"/>
      <c r="O308" s="693"/>
      <c r="P308" s="693"/>
      <c r="Q308" s="693"/>
    </row>
    <row r="309" spans="1:17" ht="13.5">
      <c r="A309" s="693"/>
      <c r="B309" s="693"/>
      <c r="C309" s="693"/>
      <c r="D309" s="693"/>
      <c r="E309" s="693"/>
      <c r="F309" s="693"/>
      <c r="G309" s="693"/>
      <c r="H309" s="693"/>
      <c r="I309" s="693"/>
      <c r="J309" s="693"/>
      <c r="K309" s="693"/>
      <c r="L309" s="693"/>
      <c r="M309" s="693"/>
      <c r="N309" s="693"/>
      <c r="O309" s="693"/>
      <c r="P309" s="693"/>
      <c r="Q309" s="693"/>
    </row>
    <row r="310" spans="1:17" ht="13.5">
      <c r="A310" s="693"/>
      <c r="B310" s="693"/>
      <c r="C310" s="693"/>
      <c r="D310" s="693"/>
      <c r="E310" s="693"/>
      <c r="F310" s="693"/>
      <c r="G310" s="693"/>
      <c r="H310" s="693"/>
      <c r="I310" s="693"/>
      <c r="J310" s="693"/>
      <c r="K310" s="693"/>
      <c r="L310" s="693"/>
      <c r="M310" s="693"/>
      <c r="N310" s="693"/>
      <c r="O310" s="693"/>
      <c r="P310" s="693"/>
      <c r="Q310" s="693"/>
    </row>
    <row r="311" spans="1:17" ht="13.5">
      <c r="A311" s="693"/>
      <c r="B311" s="693"/>
      <c r="C311" s="693"/>
      <c r="D311" s="693"/>
      <c r="E311" s="693"/>
      <c r="F311" s="693"/>
      <c r="G311" s="693"/>
      <c r="H311" s="693"/>
      <c r="I311" s="693"/>
      <c r="J311" s="693"/>
      <c r="K311" s="693"/>
      <c r="L311" s="693"/>
      <c r="M311" s="693"/>
      <c r="N311" s="693"/>
      <c r="O311" s="693"/>
      <c r="P311" s="693"/>
      <c r="Q311" s="693"/>
    </row>
    <row r="312" spans="1:17" ht="13.5">
      <c r="A312" s="693"/>
      <c r="B312" s="693"/>
      <c r="C312" s="693"/>
      <c r="D312" s="693"/>
      <c r="E312" s="693"/>
      <c r="F312" s="693"/>
      <c r="G312" s="693"/>
      <c r="H312" s="693"/>
      <c r="I312" s="693"/>
      <c r="J312" s="693"/>
      <c r="K312" s="693"/>
      <c r="L312" s="693"/>
      <c r="M312" s="693"/>
      <c r="N312" s="693"/>
      <c r="O312" s="693"/>
      <c r="P312" s="693"/>
      <c r="Q312" s="693"/>
    </row>
    <row r="313" spans="1:17" ht="13.5">
      <c r="A313" s="693"/>
      <c r="B313" s="693"/>
      <c r="C313" s="693"/>
      <c r="D313" s="693"/>
      <c r="E313" s="693"/>
      <c r="F313" s="693"/>
      <c r="G313" s="693"/>
      <c r="H313" s="693"/>
      <c r="I313" s="693"/>
      <c r="J313" s="693"/>
      <c r="K313" s="693"/>
      <c r="L313" s="693"/>
      <c r="M313" s="693"/>
      <c r="N313" s="693"/>
      <c r="O313" s="693"/>
      <c r="P313" s="693"/>
      <c r="Q313" s="693"/>
    </row>
    <row r="314" spans="1:17" ht="13.5">
      <c r="A314" s="693"/>
      <c r="B314" s="693"/>
      <c r="C314" s="693"/>
      <c r="D314" s="693"/>
      <c r="E314" s="693"/>
      <c r="F314" s="693"/>
      <c r="G314" s="693"/>
      <c r="H314" s="693"/>
      <c r="I314" s="693"/>
      <c r="J314" s="693"/>
      <c r="K314" s="693"/>
      <c r="L314" s="693"/>
      <c r="M314" s="693"/>
      <c r="N314" s="693"/>
      <c r="O314" s="693"/>
      <c r="P314" s="693"/>
      <c r="Q314" s="693"/>
    </row>
    <row r="315" spans="1:17" ht="13.5">
      <c r="A315" s="693"/>
      <c r="B315" s="693"/>
      <c r="C315" s="693"/>
      <c r="D315" s="693"/>
      <c r="E315" s="693"/>
      <c r="F315" s="693"/>
      <c r="G315" s="693"/>
      <c r="H315" s="693"/>
      <c r="I315" s="693"/>
      <c r="J315" s="693"/>
      <c r="K315" s="693"/>
      <c r="L315" s="693"/>
      <c r="M315" s="693"/>
      <c r="N315" s="693"/>
      <c r="O315" s="693"/>
      <c r="P315" s="693"/>
      <c r="Q315" s="693"/>
    </row>
    <row r="316" spans="1:17" ht="13.5">
      <c r="A316" s="693"/>
      <c r="B316" s="693"/>
      <c r="C316" s="693"/>
      <c r="D316" s="693"/>
      <c r="E316" s="693"/>
      <c r="F316" s="693"/>
      <c r="G316" s="693"/>
      <c r="H316" s="693"/>
      <c r="I316" s="693"/>
      <c r="J316" s="693"/>
      <c r="K316" s="693"/>
      <c r="L316" s="693"/>
      <c r="M316" s="693"/>
      <c r="N316" s="693"/>
      <c r="O316" s="693"/>
      <c r="P316" s="693"/>
      <c r="Q316" s="693"/>
    </row>
    <row r="317" spans="1:17" ht="13.5">
      <c r="A317" s="693"/>
      <c r="B317" s="693"/>
      <c r="C317" s="693"/>
      <c r="D317" s="693"/>
      <c r="E317" s="693"/>
      <c r="F317" s="693"/>
      <c r="G317" s="693"/>
      <c r="H317" s="693"/>
      <c r="I317" s="693"/>
      <c r="J317" s="693"/>
      <c r="K317" s="693"/>
      <c r="L317" s="693"/>
      <c r="M317" s="693"/>
      <c r="N317" s="693"/>
      <c r="O317" s="693"/>
      <c r="P317" s="693"/>
      <c r="Q317" s="693"/>
    </row>
    <row r="318" spans="1:17" ht="13.5">
      <c r="A318" s="693"/>
      <c r="B318" s="693"/>
      <c r="C318" s="693"/>
      <c r="D318" s="693"/>
      <c r="E318" s="693"/>
      <c r="F318" s="693"/>
      <c r="G318" s="693"/>
      <c r="H318" s="693"/>
      <c r="I318" s="693"/>
      <c r="J318" s="693"/>
      <c r="K318" s="693"/>
      <c r="L318" s="693"/>
      <c r="M318" s="693"/>
      <c r="N318" s="693"/>
      <c r="O318" s="693"/>
      <c r="P318" s="693"/>
      <c r="Q318" s="693"/>
    </row>
    <row r="319" spans="1:17" ht="13.5">
      <c r="A319" s="693"/>
      <c r="B319" s="693"/>
      <c r="C319" s="693"/>
      <c r="D319" s="693"/>
      <c r="E319" s="693"/>
      <c r="F319" s="693"/>
      <c r="G319" s="693"/>
      <c r="H319" s="693"/>
      <c r="I319" s="693"/>
      <c r="J319" s="693"/>
      <c r="K319" s="693"/>
      <c r="L319" s="693"/>
      <c r="M319" s="693"/>
      <c r="N319" s="693"/>
      <c r="O319" s="693"/>
      <c r="P319" s="693"/>
      <c r="Q319" s="693"/>
    </row>
    <row r="320" spans="1:17" ht="13.5">
      <c r="A320" s="693"/>
      <c r="B320" s="693"/>
      <c r="C320" s="693"/>
      <c r="D320" s="693"/>
      <c r="E320" s="693"/>
      <c r="F320" s="693"/>
      <c r="G320" s="693"/>
      <c r="H320" s="693"/>
      <c r="I320" s="693"/>
      <c r="J320" s="693"/>
      <c r="K320" s="693"/>
      <c r="L320" s="693"/>
      <c r="M320" s="693"/>
      <c r="N320" s="693"/>
      <c r="O320" s="693"/>
      <c r="P320" s="693"/>
      <c r="Q320" s="693"/>
    </row>
    <row r="321" spans="1:17" ht="13.5">
      <c r="A321" s="693"/>
      <c r="B321" s="693"/>
      <c r="C321" s="693"/>
      <c r="D321" s="693"/>
      <c r="E321" s="693"/>
      <c r="F321" s="693"/>
      <c r="G321" s="693"/>
      <c r="H321" s="693"/>
      <c r="I321" s="693"/>
      <c r="J321" s="693"/>
      <c r="K321" s="693"/>
      <c r="L321" s="693"/>
      <c r="M321" s="693"/>
      <c r="N321" s="693"/>
      <c r="O321" s="693"/>
      <c r="P321" s="693"/>
      <c r="Q321" s="693"/>
    </row>
    <row r="322" spans="1:17" ht="13.5">
      <c r="A322" s="693"/>
      <c r="B322" s="693"/>
      <c r="C322" s="693"/>
      <c r="D322" s="693"/>
      <c r="E322" s="693"/>
      <c r="F322" s="693"/>
      <c r="G322" s="693"/>
      <c r="H322" s="693"/>
      <c r="I322" s="693"/>
      <c r="J322" s="693"/>
      <c r="K322" s="693"/>
      <c r="L322" s="693"/>
      <c r="M322" s="693"/>
      <c r="N322" s="693"/>
      <c r="O322" s="693"/>
      <c r="P322" s="693"/>
      <c r="Q322" s="693"/>
    </row>
    <row r="323" spans="1:17" ht="13.5">
      <c r="A323" s="693"/>
      <c r="B323" s="693"/>
      <c r="C323" s="693"/>
      <c r="D323" s="693"/>
      <c r="E323" s="693"/>
      <c r="F323" s="693"/>
      <c r="G323" s="693"/>
      <c r="H323" s="693"/>
      <c r="I323" s="693"/>
      <c r="J323" s="693"/>
      <c r="K323" s="693"/>
      <c r="L323" s="693"/>
      <c r="M323" s="693"/>
      <c r="N323" s="693"/>
      <c r="O323" s="693"/>
      <c r="P323" s="693"/>
      <c r="Q323" s="693"/>
    </row>
    <row r="324" spans="1:17" ht="13.5">
      <c r="A324" s="693"/>
      <c r="B324" s="693"/>
      <c r="C324" s="693"/>
      <c r="D324" s="693"/>
      <c r="E324" s="693"/>
      <c r="F324" s="693"/>
      <c r="G324" s="693"/>
      <c r="H324" s="693"/>
      <c r="I324" s="693"/>
      <c r="J324" s="693"/>
      <c r="K324" s="693"/>
      <c r="L324" s="693"/>
      <c r="M324" s="693"/>
      <c r="N324" s="693"/>
      <c r="O324" s="693"/>
      <c r="P324" s="693"/>
      <c r="Q324" s="693"/>
    </row>
    <row r="325" spans="1:17" ht="13.5">
      <c r="A325" s="693"/>
      <c r="B325" s="693"/>
      <c r="C325" s="693"/>
      <c r="D325" s="693"/>
      <c r="E325" s="693"/>
      <c r="F325" s="693"/>
      <c r="G325" s="693"/>
      <c r="H325" s="693"/>
      <c r="I325" s="693"/>
      <c r="J325" s="693"/>
      <c r="K325" s="693"/>
      <c r="L325" s="693"/>
      <c r="M325" s="693"/>
      <c r="N325" s="693"/>
      <c r="O325" s="693"/>
      <c r="P325" s="693"/>
      <c r="Q325" s="693"/>
    </row>
    <row r="326" spans="1:17" ht="13.5">
      <c r="A326" s="693"/>
      <c r="B326" s="693"/>
      <c r="C326" s="693"/>
      <c r="D326" s="693"/>
      <c r="E326" s="693"/>
      <c r="F326" s="693"/>
      <c r="G326" s="693"/>
      <c r="H326" s="693"/>
      <c r="I326" s="693"/>
      <c r="J326" s="693"/>
      <c r="K326" s="693"/>
      <c r="L326" s="693"/>
      <c r="M326" s="693"/>
      <c r="N326" s="693"/>
      <c r="O326" s="693"/>
      <c r="P326" s="693"/>
      <c r="Q326" s="693"/>
    </row>
    <row r="327" spans="1:17" ht="13.5">
      <c r="A327" s="693"/>
      <c r="B327" s="693"/>
      <c r="C327" s="693"/>
      <c r="D327" s="693"/>
      <c r="E327" s="693"/>
      <c r="F327" s="693"/>
      <c r="G327" s="693"/>
      <c r="H327" s="693"/>
      <c r="I327" s="693"/>
      <c r="J327" s="693"/>
      <c r="K327" s="693"/>
      <c r="L327" s="693"/>
      <c r="M327" s="693"/>
      <c r="N327" s="693"/>
      <c r="O327" s="693"/>
      <c r="P327" s="693"/>
      <c r="Q327" s="693"/>
    </row>
    <row r="328" spans="1:17" ht="13.5">
      <c r="A328" s="693"/>
      <c r="B328" s="693"/>
      <c r="C328" s="693"/>
      <c r="D328" s="693"/>
      <c r="E328" s="693"/>
      <c r="F328" s="693"/>
      <c r="G328" s="693"/>
      <c r="H328" s="693"/>
      <c r="I328" s="693"/>
      <c r="J328" s="693"/>
      <c r="K328" s="693"/>
      <c r="L328" s="693"/>
      <c r="M328" s="693"/>
      <c r="N328" s="693"/>
      <c r="O328" s="693"/>
      <c r="P328" s="693"/>
      <c r="Q328" s="693"/>
    </row>
    <row r="329" spans="1:17" ht="13.5">
      <c r="A329" s="693"/>
      <c r="B329" s="693"/>
      <c r="C329" s="693"/>
      <c r="D329" s="693"/>
      <c r="E329" s="693"/>
      <c r="F329" s="693"/>
      <c r="G329" s="693"/>
      <c r="H329" s="693"/>
      <c r="I329" s="693"/>
      <c r="J329" s="693"/>
      <c r="K329" s="693"/>
      <c r="L329" s="693"/>
      <c r="M329" s="693"/>
      <c r="N329" s="693"/>
      <c r="O329" s="693"/>
      <c r="P329" s="693"/>
      <c r="Q329" s="693"/>
    </row>
    <row r="330" spans="1:17" ht="13.5">
      <c r="A330" s="693"/>
      <c r="B330" s="693"/>
      <c r="C330" s="693"/>
      <c r="D330" s="693"/>
      <c r="E330" s="693"/>
      <c r="F330" s="693"/>
      <c r="G330" s="693"/>
      <c r="H330" s="693"/>
      <c r="I330" s="693"/>
      <c r="J330" s="693"/>
      <c r="K330" s="693"/>
      <c r="L330" s="693"/>
      <c r="M330" s="693"/>
      <c r="N330" s="693"/>
      <c r="O330" s="693"/>
      <c r="P330" s="693"/>
      <c r="Q330" s="693"/>
    </row>
    <row r="331" spans="1:17" ht="13.5">
      <c r="A331" s="693"/>
      <c r="B331" s="693"/>
      <c r="C331" s="693"/>
      <c r="D331" s="693"/>
      <c r="E331" s="693"/>
      <c r="F331" s="693"/>
      <c r="G331" s="693"/>
      <c r="H331" s="693"/>
      <c r="I331" s="693"/>
      <c r="J331" s="693"/>
      <c r="K331" s="693"/>
      <c r="L331" s="693"/>
      <c r="M331" s="693"/>
      <c r="N331" s="693"/>
      <c r="O331" s="693"/>
      <c r="P331" s="693"/>
      <c r="Q331" s="693"/>
    </row>
    <row r="332" spans="1:17" ht="13.5">
      <c r="A332" s="693"/>
      <c r="B332" s="693"/>
      <c r="C332" s="693"/>
      <c r="D332" s="693"/>
      <c r="E332" s="693"/>
      <c r="F332" s="693"/>
      <c r="G332" s="693"/>
      <c r="H332" s="693"/>
      <c r="I332" s="693"/>
      <c r="J332" s="693"/>
      <c r="K332" s="693"/>
      <c r="L332" s="693"/>
      <c r="M332" s="693"/>
      <c r="N332" s="693"/>
      <c r="O332" s="693"/>
      <c r="P332" s="693"/>
      <c r="Q332" s="693"/>
    </row>
    <row r="333" spans="1:17" ht="13.5">
      <c r="A333" s="693"/>
      <c r="B333" s="693"/>
      <c r="C333" s="693"/>
      <c r="D333" s="693"/>
      <c r="E333" s="693"/>
      <c r="F333" s="693"/>
      <c r="G333" s="693"/>
      <c r="H333" s="693"/>
      <c r="I333" s="693"/>
      <c r="J333" s="693"/>
      <c r="K333" s="693"/>
      <c r="L333" s="693"/>
      <c r="M333" s="693"/>
      <c r="N333" s="693"/>
      <c r="O333" s="693"/>
      <c r="P333" s="693"/>
      <c r="Q333" s="693"/>
    </row>
    <row r="334" spans="1:17" ht="13.5">
      <c r="A334" s="693"/>
      <c r="B334" s="693"/>
      <c r="C334" s="693"/>
      <c r="D334" s="693"/>
      <c r="E334" s="693"/>
      <c r="F334" s="693"/>
      <c r="G334" s="693"/>
      <c r="H334" s="693"/>
      <c r="I334" s="693"/>
      <c r="J334" s="693"/>
      <c r="K334" s="693"/>
      <c r="L334" s="693"/>
      <c r="M334" s="693"/>
      <c r="N334" s="693"/>
      <c r="O334" s="693"/>
      <c r="P334" s="693"/>
      <c r="Q334" s="693"/>
    </row>
    <row r="335" spans="1:17" ht="13.5">
      <c r="A335" s="693"/>
      <c r="B335" s="693"/>
      <c r="C335" s="693"/>
      <c r="D335" s="693"/>
      <c r="E335" s="693"/>
      <c r="F335" s="693"/>
      <c r="G335" s="693"/>
      <c r="H335" s="693"/>
      <c r="I335" s="693"/>
      <c r="J335" s="693"/>
      <c r="K335" s="693"/>
      <c r="L335" s="693"/>
      <c r="M335" s="693"/>
      <c r="N335" s="693"/>
      <c r="O335" s="693"/>
      <c r="P335" s="693"/>
      <c r="Q335" s="693"/>
    </row>
    <row r="336" spans="1:17" ht="13.5">
      <c r="A336" s="693"/>
      <c r="B336" s="693"/>
      <c r="C336" s="693"/>
      <c r="D336" s="693"/>
      <c r="E336" s="693"/>
      <c r="F336" s="693"/>
      <c r="G336" s="693"/>
      <c r="H336" s="693"/>
      <c r="I336" s="693"/>
      <c r="J336" s="693"/>
      <c r="K336" s="693"/>
      <c r="L336" s="693"/>
      <c r="M336" s="693"/>
      <c r="N336" s="693"/>
      <c r="O336" s="693"/>
      <c r="P336" s="693"/>
      <c r="Q336" s="693"/>
    </row>
    <row r="337" spans="1:17" ht="13.5">
      <c r="A337" s="693"/>
      <c r="B337" s="693"/>
      <c r="C337" s="693"/>
      <c r="D337" s="693"/>
      <c r="E337" s="693"/>
      <c r="F337" s="693"/>
      <c r="G337" s="693"/>
      <c r="H337" s="693"/>
      <c r="I337" s="693"/>
      <c r="J337" s="693"/>
      <c r="K337" s="693"/>
      <c r="L337" s="693"/>
      <c r="M337" s="693"/>
      <c r="N337" s="693"/>
      <c r="O337" s="693"/>
      <c r="P337" s="693"/>
      <c r="Q337" s="693"/>
    </row>
    <row r="338" spans="1:17" ht="13.5">
      <c r="A338" s="693"/>
      <c r="B338" s="693"/>
      <c r="C338" s="693"/>
      <c r="D338" s="693"/>
      <c r="E338" s="693"/>
      <c r="F338" s="693"/>
      <c r="G338" s="693"/>
      <c r="H338" s="693"/>
      <c r="I338" s="693"/>
      <c r="J338" s="693"/>
      <c r="K338" s="693"/>
      <c r="L338" s="693"/>
      <c r="M338" s="693"/>
      <c r="N338" s="693"/>
      <c r="O338" s="693"/>
      <c r="P338" s="693"/>
      <c r="Q338" s="693"/>
    </row>
    <row r="339" spans="1:17" ht="13.5">
      <c r="A339" s="693"/>
      <c r="B339" s="693"/>
      <c r="C339" s="693"/>
      <c r="D339" s="693"/>
      <c r="E339" s="693"/>
      <c r="F339" s="693"/>
      <c r="G339" s="693"/>
      <c r="H339" s="693"/>
      <c r="I339" s="693"/>
      <c r="J339" s="693"/>
      <c r="K339" s="693"/>
      <c r="L339" s="693"/>
      <c r="M339" s="693"/>
      <c r="N339" s="693"/>
      <c r="O339" s="693"/>
      <c r="P339" s="693"/>
      <c r="Q339" s="693"/>
    </row>
    <row r="340" spans="1:17" ht="13.5">
      <c r="A340" s="693"/>
      <c r="B340" s="693"/>
      <c r="C340" s="693"/>
      <c r="D340" s="693"/>
      <c r="E340" s="693"/>
      <c r="F340" s="693"/>
      <c r="G340" s="693"/>
      <c r="H340" s="693"/>
      <c r="I340" s="693"/>
      <c r="J340" s="693"/>
      <c r="K340" s="693"/>
      <c r="L340" s="693"/>
      <c r="M340" s="693"/>
      <c r="N340" s="693"/>
      <c r="O340" s="693"/>
      <c r="P340" s="693"/>
      <c r="Q340" s="693"/>
    </row>
    <row r="341" spans="1:17" ht="13.5">
      <c r="A341" s="693"/>
      <c r="B341" s="693"/>
      <c r="C341" s="693"/>
      <c r="D341" s="693"/>
      <c r="E341" s="693"/>
      <c r="F341" s="693"/>
      <c r="G341" s="693"/>
      <c r="H341" s="693"/>
      <c r="I341" s="693"/>
      <c r="J341" s="693"/>
      <c r="K341" s="693"/>
      <c r="L341" s="693"/>
      <c r="M341" s="693"/>
      <c r="N341" s="693"/>
      <c r="O341" s="693"/>
      <c r="P341" s="693"/>
      <c r="Q341" s="693"/>
    </row>
    <row r="342" spans="1:17" ht="13.5">
      <c r="A342" s="693"/>
      <c r="B342" s="693"/>
      <c r="C342" s="693"/>
      <c r="D342" s="693"/>
      <c r="E342" s="693"/>
      <c r="F342" s="693"/>
      <c r="G342" s="693"/>
      <c r="H342" s="693"/>
      <c r="I342" s="693"/>
      <c r="J342" s="693"/>
      <c r="K342" s="693"/>
      <c r="L342" s="693"/>
      <c r="M342" s="693"/>
      <c r="N342" s="693"/>
      <c r="O342" s="693"/>
      <c r="P342" s="693"/>
      <c r="Q342" s="693"/>
    </row>
    <row r="343" spans="1:17" ht="13.5">
      <c r="A343" s="693"/>
      <c r="B343" s="693"/>
      <c r="C343" s="693"/>
      <c r="D343" s="693"/>
      <c r="E343" s="693"/>
      <c r="F343" s="693"/>
      <c r="G343" s="693"/>
      <c r="H343" s="693"/>
      <c r="I343" s="693"/>
      <c r="J343" s="693"/>
      <c r="K343" s="693"/>
      <c r="L343" s="693"/>
      <c r="M343" s="693"/>
      <c r="N343" s="693"/>
      <c r="O343" s="693"/>
      <c r="P343" s="693"/>
      <c r="Q343" s="693"/>
    </row>
    <row r="344" spans="1:17" ht="13.5">
      <c r="A344" s="693"/>
      <c r="B344" s="693"/>
      <c r="C344" s="693"/>
      <c r="D344" s="693"/>
      <c r="E344" s="693"/>
      <c r="F344" s="693"/>
      <c r="G344" s="693"/>
      <c r="H344" s="693"/>
      <c r="I344" s="693"/>
      <c r="J344" s="693"/>
      <c r="K344" s="693"/>
      <c r="L344" s="693"/>
      <c r="M344" s="693"/>
      <c r="N344" s="693"/>
      <c r="O344" s="693"/>
      <c r="P344" s="693"/>
      <c r="Q344" s="693"/>
    </row>
    <row r="345" spans="1:17" ht="13.5">
      <c r="A345" s="693"/>
      <c r="B345" s="693"/>
      <c r="C345" s="693"/>
      <c r="D345" s="693"/>
      <c r="E345" s="693"/>
      <c r="F345" s="693"/>
      <c r="G345" s="693"/>
      <c r="H345" s="693"/>
      <c r="I345" s="693"/>
      <c r="J345" s="693"/>
      <c r="K345" s="693"/>
      <c r="L345" s="693"/>
      <c r="M345" s="693"/>
      <c r="N345" s="693"/>
      <c r="O345" s="693"/>
      <c r="P345" s="693"/>
      <c r="Q345" s="693"/>
    </row>
    <row r="346" spans="1:17" ht="13.5">
      <c r="A346" s="693"/>
      <c r="B346" s="693"/>
      <c r="C346" s="693"/>
      <c r="D346" s="693"/>
      <c r="E346" s="693"/>
      <c r="F346" s="693"/>
      <c r="G346" s="693"/>
      <c r="H346" s="693"/>
      <c r="I346" s="693"/>
      <c r="J346" s="693"/>
      <c r="K346" s="693"/>
      <c r="L346" s="693"/>
      <c r="M346" s="693"/>
      <c r="N346" s="693"/>
      <c r="O346" s="693"/>
      <c r="P346" s="693"/>
      <c r="Q346" s="693"/>
    </row>
    <row r="347" spans="1:17" ht="13.5">
      <c r="A347" s="693"/>
      <c r="B347" s="693"/>
      <c r="C347" s="693"/>
      <c r="D347" s="693"/>
      <c r="E347" s="693"/>
      <c r="F347" s="693"/>
      <c r="G347" s="693"/>
      <c r="H347" s="693"/>
      <c r="I347" s="693"/>
      <c r="J347" s="693"/>
      <c r="K347" s="693"/>
      <c r="L347" s="693"/>
      <c r="M347" s="693"/>
      <c r="N347" s="693"/>
      <c r="O347" s="693"/>
      <c r="P347" s="693"/>
      <c r="Q347" s="693"/>
    </row>
    <row r="348" spans="1:17" ht="13.5">
      <c r="A348" s="693"/>
      <c r="B348" s="693"/>
      <c r="C348" s="693"/>
      <c r="D348" s="693"/>
      <c r="E348" s="693"/>
      <c r="F348" s="693"/>
      <c r="G348" s="693"/>
      <c r="H348" s="693"/>
      <c r="I348" s="693"/>
      <c r="J348" s="693"/>
      <c r="K348" s="693"/>
      <c r="L348" s="693"/>
      <c r="M348" s="693"/>
      <c r="N348" s="693"/>
      <c r="O348" s="693"/>
      <c r="P348" s="693"/>
      <c r="Q348" s="693"/>
    </row>
    <row r="349" spans="1:17" ht="13.5">
      <c r="A349" s="693"/>
      <c r="B349" s="693"/>
      <c r="C349" s="693"/>
      <c r="D349" s="693"/>
      <c r="E349" s="693"/>
      <c r="F349" s="693"/>
      <c r="G349" s="693"/>
      <c r="H349" s="693"/>
      <c r="I349" s="693"/>
      <c r="J349" s="693"/>
      <c r="K349" s="693"/>
      <c r="L349" s="693"/>
      <c r="M349" s="693"/>
      <c r="N349" s="693"/>
      <c r="O349" s="693"/>
      <c r="P349" s="693"/>
      <c r="Q349" s="693"/>
    </row>
    <row r="350" spans="1:17" ht="13.5">
      <c r="A350" s="693"/>
      <c r="B350" s="693"/>
      <c r="C350" s="693"/>
      <c r="D350" s="693"/>
      <c r="E350" s="693"/>
      <c r="F350" s="693"/>
      <c r="G350" s="693"/>
      <c r="H350" s="693"/>
      <c r="I350" s="693"/>
      <c r="J350" s="693"/>
      <c r="K350" s="693"/>
      <c r="L350" s="693"/>
      <c r="M350" s="693"/>
      <c r="N350" s="693"/>
      <c r="O350" s="693"/>
      <c r="P350" s="693"/>
      <c r="Q350" s="693"/>
    </row>
    <row r="351" spans="1:17" ht="13.5">
      <c r="A351" s="693"/>
      <c r="B351" s="693"/>
      <c r="C351" s="693"/>
      <c r="D351" s="693"/>
      <c r="E351" s="693"/>
      <c r="F351" s="693"/>
      <c r="G351" s="693"/>
      <c r="H351" s="693"/>
      <c r="I351" s="693"/>
      <c r="J351" s="693"/>
      <c r="K351" s="693"/>
      <c r="L351" s="693"/>
      <c r="M351" s="693"/>
      <c r="N351" s="693"/>
      <c r="O351" s="693"/>
      <c r="P351" s="693"/>
      <c r="Q351" s="693"/>
    </row>
    <row r="352" spans="1:17" ht="13.5">
      <c r="A352" s="693"/>
      <c r="B352" s="693"/>
      <c r="C352" s="693"/>
      <c r="D352" s="693"/>
      <c r="E352" s="693"/>
      <c r="F352" s="693"/>
      <c r="G352" s="693"/>
      <c r="H352" s="693"/>
      <c r="I352" s="693"/>
      <c r="J352" s="693"/>
      <c r="K352" s="693"/>
      <c r="L352" s="693"/>
      <c r="M352" s="693"/>
      <c r="N352" s="693"/>
      <c r="O352" s="693"/>
      <c r="P352" s="693"/>
      <c r="Q352" s="693"/>
    </row>
    <row r="353" spans="1:17" ht="13.5">
      <c r="A353" s="693"/>
      <c r="B353" s="693"/>
      <c r="C353" s="693"/>
      <c r="D353" s="693"/>
      <c r="E353" s="693"/>
      <c r="F353" s="693"/>
      <c r="G353" s="693"/>
      <c r="H353" s="693"/>
      <c r="I353" s="693"/>
      <c r="J353" s="693"/>
      <c r="K353" s="693"/>
      <c r="L353" s="693"/>
      <c r="M353" s="693"/>
      <c r="N353" s="693"/>
      <c r="O353" s="693"/>
      <c r="P353" s="693"/>
      <c r="Q353" s="693"/>
    </row>
    <row r="354" spans="1:17" ht="13.5">
      <c r="A354" s="693"/>
      <c r="B354" s="693"/>
      <c r="C354" s="693"/>
      <c r="D354" s="693"/>
      <c r="E354" s="693"/>
      <c r="F354" s="693"/>
      <c r="G354" s="693"/>
      <c r="H354" s="693"/>
      <c r="I354" s="693"/>
      <c r="J354" s="693"/>
      <c r="K354" s="693"/>
      <c r="L354" s="693"/>
      <c r="M354" s="693"/>
      <c r="N354" s="693"/>
      <c r="O354" s="693"/>
      <c r="P354" s="693"/>
      <c r="Q354" s="693"/>
    </row>
    <row r="355" spans="1:17" ht="13.5">
      <c r="A355" s="693"/>
      <c r="B355" s="693"/>
      <c r="C355" s="693"/>
      <c r="D355" s="693"/>
      <c r="E355" s="693"/>
      <c r="F355" s="693"/>
      <c r="G355" s="693"/>
      <c r="H355" s="693"/>
      <c r="I355" s="693"/>
      <c r="J355" s="693"/>
      <c r="K355" s="693"/>
      <c r="L355" s="693"/>
      <c r="M355" s="693"/>
      <c r="N355" s="693"/>
      <c r="O355" s="693"/>
      <c r="P355" s="693"/>
      <c r="Q355" s="693"/>
    </row>
    <row r="356" spans="1:17" ht="13.5">
      <c r="A356" s="693"/>
      <c r="B356" s="693"/>
      <c r="C356" s="693"/>
      <c r="D356" s="693"/>
      <c r="E356" s="693"/>
      <c r="F356" s="693"/>
      <c r="G356" s="693"/>
      <c r="H356" s="693"/>
      <c r="I356" s="693"/>
      <c r="J356" s="693"/>
      <c r="K356" s="693"/>
      <c r="L356" s="693"/>
      <c r="M356" s="693"/>
      <c r="N356" s="693"/>
      <c r="O356" s="693"/>
      <c r="P356" s="693"/>
      <c r="Q356" s="693"/>
    </row>
    <row r="357" spans="1:17" ht="13.5">
      <c r="A357" s="693"/>
      <c r="B357" s="693"/>
      <c r="C357" s="693"/>
      <c r="D357" s="693"/>
      <c r="E357" s="693"/>
      <c r="F357" s="693"/>
      <c r="G357" s="693"/>
      <c r="H357" s="693"/>
      <c r="I357" s="693"/>
      <c r="J357" s="693"/>
      <c r="K357" s="693"/>
      <c r="L357" s="693"/>
      <c r="M357" s="693"/>
      <c r="N357" s="693"/>
      <c r="O357" s="693"/>
      <c r="P357" s="693"/>
      <c r="Q357" s="693"/>
    </row>
    <row r="358" spans="1:17" ht="13.5">
      <c r="A358" s="693"/>
      <c r="B358" s="693"/>
      <c r="C358" s="693"/>
      <c r="D358" s="693"/>
      <c r="E358" s="693"/>
      <c r="F358" s="693"/>
      <c r="G358" s="693"/>
      <c r="H358" s="693"/>
      <c r="I358" s="693"/>
      <c r="J358" s="693"/>
      <c r="K358" s="693"/>
      <c r="L358" s="693"/>
      <c r="M358" s="693"/>
      <c r="N358" s="693"/>
      <c r="O358" s="693"/>
      <c r="P358" s="693"/>
      <c r="Q358" s="693"/>
    </row>
    <row r="359" spans="1:17" ht="13.5">
      <c r="A359" s="693"/>
      <c r="B359" s="693"/>
      <c r="C359" s="693"/>
      <c r="D359" s="693"/>
      <c r="E359" s="693"/>
      <c r="F359" s="693"/>
      <c r="G359" s="693"/>
      <c r="H359" s="693"/>
      <c r="I359" s="693"/>
      <c r="J359" s="693"/>
      <c r="K359" s="693"/>
      <c r="L359" s="693"/>
      <c r="M359" s="693"/>
      <c r="N359" s="693"/>
      <c r="O359" s="693"/>
      <c r="P359" s="693"/>
      <c r="Q359" s="693"/>
    </row>
    <row r="360" spans="1:17" ht="13.5">
      <c r="A360" s="693"/>
      <c r="B360" s="693"/>
      <c r="C360" s="693"/>
      <c r="D360" s="693"/>
      <c r="E360" s="693"/>
      <c r="F360" s="693"/>
      <c r="G360" s="693"/>
      <c r="H360" s="693"/>
      <c r="I360" s="693"/>
      <c r="J360" s="693"/>
      <c r="K360" s="693"/>
      <c r="L360" s="693"/>
      <c r="M360" s="693"/>
      <c r="N360" s="693"/>
      <c r="O360" s="693"/>
      <c r="P360" s="693"/>
      <c r="Q360" s="693"/>
    </row>
    <row r="361" spans="1:17" ht="13.5">
      <c r="A361" s="693"/>
      <c r="B361" s="693"/>
      <c r="C361" s="693"/>
      <c r="D361" s="693"/>
      <c r="E361" s="693"/>
      <c r="F361" s="693"/>
      <c r="G361" s="693"/>
      <c r="H361" s="693"/>
      <c r="I361" s="693"/>
      <c r="J361" s="693"/>
      <c r="K361" s="693"/>
      <c r="L361" s="693"/>
      <c r="M361" s="693"/>
      <c r="N361" s="693"/>
      <c r="O361" s="693"/>
      <c r="P361" s="693"/>
      <c r="Q361" s="693"/>
    </row>
    <row r="362" spans="1:17" ht="13.5">
      <c r="A362" s="693"/>
      <c r="B362" s="693"/>
      <c r="C362" s="693"/>
      <c r="D362" s="693"/>
      <c r="E362" s="693"/>
      <c r="F362" s="693"/>
      <c r="G362" s="693"/>
      <c r="H362" s="693"/>
      <c r="I362" s="693"/>
      <c r="J362" s="693"/>
      <c r="K362" s="693"/>
      <c r="L362" s="693"/>
      <c r="M362" s="693"/>
      <c r="N362" s="693"/>
      <c r="O362" s="693"/>
      <c r="P362" s="693"/>
      <c r="Q362" s="693"/>
    </row>
    <row r="363" spans="1:17" ht="13.5">
      <c r="A363" s="693"/>
      <c r="B363" s="693"/>
      <c r="C363" s="693"/>
      <c r="D363" s="693"/>
      <c r="E363" s="693"/>
      <c r="F363" s="693"/>
      <c r="G363" s="693"/>
      <c r="H363" s="693"/>
      <c r="I363" s="693"/>
      <c r="J363" s="693"/>
      <c r="K363" s="693"/>
      <c r="L363" s="693"/>
      <c r="M363" s="693"/>
      <c r="N363" s="693"/>
      <c r="O363" s="693"/>
      <c r="P363" s="693"/>
      <c r="Q363" s="693"/>
    </row>
    <row r="364" spans="1:17" ht="13.5">
      <c r="A364" s="693"/>
      <c r="B364" s="693"/>
      <c r="C364" s="693"/>
      <c r="D364" s="693"/>
      <c r="E364" s="693"/>
      <c r="F364" s="693"/>
      <c r="G364" s="693"/>
      <c r="H364" s="693"/>
      <c r="I364" s="693"/>
      <c r="J364" s="693"/>
      <c r="K364" s="693"/>
      <c r="L364" s="693"/>
      <c r="M364" s="693"/>
      <c r="N364" s="693"/>
      <c r="O364" s="693"/>
      <c r="P364" s="693"/>
      <c r="Q364" s="693"/>
    </row>
    <row r="365" spans="1:17" ht="13.5">
      <c r="A365" s="693"/>
      <c r="B365" s="693"/>
      <c r="C365" s="693"/>
      <c r="D365" s="693"/>
      <c r="E365" s="693"/>
      <c r="F365" s="693"/>
      <c r="G365" s="693"/>
      <c r="H365" s="693"/>
      <c r="I365" s="693"/>
      <c r="J365" s="693"/>
      <c r="K365" s="693"/>
      <c r="L365" s="693"/>
      <c r="M365" s="693"/>
      <c r="N365" s="693"/>
      <c r="O365" s="693"/>
      <c r="P365" s="693"/>
      <c r="Q365" s="693"/>
    </row>
    <row r="366" spans="1:17" ht="13.5">
      <c r="A366" s="693"/>
      <c r="B366" s="693"/>
      <c r="C366" s="693"/>
      <c r="D366" s="693"/>
      <c r="E366" s="693"/>
      <c r="F366" s="693"/>
      <c r="G366" s="693"/>
      <c r="H366" s="693"/>
      <c r="I366" s="693"/>
      <c r="J366" s="693"/>
      <c r="K366" s="693"/>
      <c r="L366" s="693"/>
      <c r="M366" s="693"/>
      <c r="N366" s="693"/>
      <c r="O366" s="693"/>
      <c r="P366" s="693"/>
      <c r="Q366" s="693"/>
    </row>
    <row r="367" spans="1:17" ht="13.5">
      <c r="A367" s="693"/>
      <c r="B367" s="693"/>
      <c r="C367" s="693"/>
      <c r="D367" s="693"/>
      <c r="E367" s="693"/>
      <c r="F367" s="693"/>
      <c r="G367" s="693"/>
      <c r="H367" s="693"/>
      <c r="I367" s="693"/>
      <c r="J367" s="693"/>
      <c r="K367" s="693"/>
      <c r="L367" s="693"/>
      <c r="M367" s="693"/>
      <c r="N367" s="693"/>
      <c r="O367" s="693"/>
      <c r="P367" s="693"/>
      <c r="Q367" s="693"/>
    </row>
    <row r="368" spans="1:17" ht="13.5">
      <c r="A368" s="693"/>
      <c r="B368" s="693"/>
      <c r="C368" s="693"/>
      <c r="D368" s="693"/>
      <c r="E368" s="693"/>
      <c r="F368" s="693"/>
      <c r="G368" s="693"/>
      <c r="H368" s="693"/>
      <c r="I368" s="693"/>
      <c r="J368" s="693"/>
      <c r="K368" s="693"/>
      <c r="L368" s="693"/>
      <c r="M368" s="693"/>
      <c r="N368" s="693"/>
      <c r="O368" s="693"/>
      <c r="P368" s="693"/>
      <c r="Q368" s="693"/>
    </row>
    <row r="369" spans="1:17" ht="13.5">
      <c r="A369" s="693"/>
      <c r="B369" s="693"/>
      <c r="C369" s="693"/>
      <c r="D369" s="693"/>
      <c r="E369" s="693"/>
      <c r="F369" s="693"/>
      <c r="G369" s="693"/>
      <c r="H369" s="693"/>
      <c r="I369" s="693"/>
      <c r="J369" s="693"/>
      <c r="K369" s="693"/>
      <c r="L369" s="693"/>
      <c r="M369" s="693"/>
      <c r="N369" s="693"/>
      <c r="O369" s="693"/>
      <c r="P369" s="693"/>
      <c r="Q369" s="693"/>
    </row>
    <row r="370" spans="1:17" ht="13.5">
      <c r="A370" s="693"/>
      <c r="B370" s="693"/>
      <c r="C370" s="693"/>
      <c r="D370" s="693"/>
      <c r="E370" s="693"/>
      <c r="F370" s="693"/>
      <c r="G370" s="693"/>
      <c r="H370" s="693"/>
      <c r="I370" s="693"/>
      <c r="J370" s="693"/>
      <c r="K370" s="693"/>
      <c r="L370" s="693"/>
      <c r="M370" s="693"/>
      <c r="N370" s="693"/>
      <c r="O370" s="693"/>
      <c r="P370" s="693"/>
      <c r="Q370" s="693"/>
    </row>
    <row r="371" spans="1:17" ht="13.5">
      <c r="A371" s="693"/>
      <c r="B371" s="693"/>
      <c r="C371" s="693"/>
      <c r="D371" s="693"/>
      <c r="E371" s="693"/>
      <c r="F371" s="693"/>
      <c r="G371" s="693"/>
      <c r="H371" s="693"/>
      <c r="I371" s="693"/>
      <c r="J371" s="693"/>
      <c r="K371" s="693"/>
      <c r="L371" s="693"/>
      <c r="M371" s="693"/>
      <c r="N371" s="693"/>
      <c r="O371" s="693"/>
      <c r="P371" s="693"/>
      <c r="Q371" s="693"/>
    </row>
    <row r="372" spans="1:17" ht="13.5">
      <c r="A372" s="693"/>
      <c r="B372" s="693"/>
      <c r="C372" s="693"/>
      <c r="D372" s="693"/>
      <c r="E372" s="693"/>
      <c r="F372" s="693"/>
      <c r="G372" s="693"/>
      <c r="H372" s="693"/>
      <c r="I372" s="693"/>
      <c r="J372" s="693"/>
      <c r="K372" s="693"/>
      <c r="L372" s="693"/>
      <c r="M372" s="693"/>
      <c r="N372" s="693"/>
      <c r="O372" s="693"/>
      <c r="P372" s="693"/>
      <c r="Q372" s="693"/>
    </row>
    <row r="373" spans="1:17" ht="13.5">
      <c r="A373" s="693"/>
      <c r="B373" s="693"/>
      <c r="C373" s="693"/>
      <c r="D373" s="693"/>
      <c r="E373" s="693"/>
      <c r="F373" s="693"/>
      <c r="G373" s="693"/>
      <c r="H373" s="693"/>
      <c r="I373" s="693"/>
      <c r="J373" s="693"/>
      <c r="K373" s="693"/>
      <c r="L373" s="693"/>
      <c r="M373" s="693"/>
      <c r="N373" s="693"/>
      <c r="O373" s="693"/>
      <c r="P373" s="693"/>
      <c r="Q373" s="693"/>
    </row>
    <row r="374" spans="1:17" ht="13.5">
      <c r="A374" s="693"/>
      <c r="B374" s="693"/>
      <c r="C374" s="693"/>
      <c r="D374" s="693"/>
      <c r="E374" s="693"/>
      <c r="F374" s="693"/>
      <c r="G374" s="693"/>
      <c r="H374" s="693"/>
      <c r="I374" s="693"/>
      <c r="J374" s="693"/>
      <c r="K374" s="693"/>
      <c r="L374" s="693"/>
      <c r="M374" s="693"/>
      <c r="N374" s="693"/>
      <c r="O374" s="693"/>
      <c r="P374" s="693"/>
      <c r="Q374" s="693"/>
    </row>
    <row r="375" spans="1:17" ht="13.5">
      <c r="A375" s="693"/>
      <c r="B375" s="693"/>
      <c r="C375" s="693"/>
      <c r="D375" s="693"/>
      <c r="E375" s="693"/>
      <c r="F375" s="693"/>
      <c r="G375" s="693"/>
      <c r="H375" s="693"/>
      <c r="I375" s="693"/>
      <c r="J375" s="693"/>
      <c r="K375" s="693"/>
      <c r="L375" s="693"/>
      <c r="M375" s="693"/>
      <c r="N375" s="693"/>
      <c r="O375" s="693"/>
      <c r="P375" s="693"/>
      <c r="Q375" s="693"/>
    </row>
    <row r="376" spans="1:17" ht="13.5">
      <c r="A376" s="693"/>
      <c r="B376" s="693"/>
      <c r="C376" s="693"/>
      <c r="D376" s="693"/>
      <c r="E376" s="693"/>
      <c r="F376" s="693"/>
      <c r="G376" s="693"/>
      <c r="H376" s="693"/>
      <c r="I376" s="693"/>
      <c r="J376" s="693"/>
      <c r="K376" s="693"/>
      <c r="L376" s="693"/>
      <c r="M376" s="693"/>
      <c r="N376" s="693"/>
      <c r="O376" s="693"/>
      <c r="P376" s="693"/>
      <c r="Q376" s="693"/>
    </row>
    <row r="377" spans="1:17" ht="13.5">
      <c r="A377" s="693"/>
      <c r="B377" s="693"/>
      <c r="C377" s="693"/>
      <c r="D377" s="693"/>
      <c r="E377" s="693"/>
      <c r="F377" s="693"/>
      <c r="G377" s="693"/>
      <c r="H377" s="693"/>
      <c r="I377" s="693"/>
      <c r="J377" s="693"/>
      <c r="K377" s="693"/>
      <c r="L377" s="693"/>
      <c r="M377" s="693"/>
      <c r="N377" s="693"/>
      <c r="O377" s="693"/>
      <c r="P377" s="693"/>
      <c r="Q377" s="693"/>
    </row>
    <row r="378" spans="1:17" ht="13.5">
      <c r="A378" s="693"/>
      <c r="B378" s="693"/>
      <c r="C378" s="693"/>
      <c r="D378" s="693"/>
      <c r="E378" s="693"/>
      <c r="F378" s="693"/>
      <c r="G378" s="693"/>
      <c r="H378" s="693"/>
      <c r="I378" s="693"/>
      <c r="J378" s="693"/>
      <c r="K378" s="693"/>
      <c r="L378" s="693"/>
      <c r="M378" s="693"/>
      <c r="N378" s="693"/>
      <c r="O378" s="693"/>
      <c r="P378" s="693"/>
      <c r="Q378" s="693"/>
    </row>
    <row r="379" spans="1:17" ht="13.5">
      <c r="A379" s="693"/>
      <c r="B379" s="693"/>
      <c r="C379" s="693"/>
      <c r="D379" s="693"/>
      <c r="E379" s="693"/>
      <c r="F379" s="693"/>
      <c r="G379" s="693"/>
      <c r="H379" s="693"/>
      <c r="I379" s="693"/>
      <c r="J379" s="693"/>
      <c r="K379" s="693"/>
      <c r="L379" s="693"/>
      <c r="M379" s="693"/>
      <c r="N379" s="693"/>
      <c r="O379" s="693"/>
      <c r="P379" s="693"/>
      <c r="Q379" s="693"/>
    </row>
    <row r="380" spans="1:17" ht="13.5">
      <c r="A380" s="693"/>
      <c r="B380" s="693"/>
      <c r="C380" s="693"/>
      <c r="D380" s="693"/>
      <c r="E380" s="693"/>
      <c r="F380" s="693"/>
      <c r="G380" s="693"/>
      <c r="H380" s="693"/>
      <c r="I380" s="693"/>
      <c r="J380" s="693"/>
      <c r="K380" s="693"/>
      <c r="L380" s="693"/>
      <c r="M380" s="693"/>
      <c r="N380" s="693"/>
      <c r="O380" s="693"/>
      <c r="P380" s="693"/>
      <c r="Q380" s="693"/>
    </row>
    <row r="381" spans="1:17" ht="13.5">
      <c r="A381" s="693"/>
      <c r="B381" s="693"/>
      <c r="C381" s="693"/>
      <c r="D381" s="693"/>
      <c r="E381" s="693"/>
      <c r="F381" s="693"/>
      <c r="G381" s="693"/>
      <c r="H381" s="693"/>
      <c r="I381" s="693"/>
      <c r="J381" s="693"/>
      <c r="K381" s="693"/>
      <c r="L381" s="693"/>
      <c r="M381" s="693"/>
      <c r="N381" s="693"/>
      <c r="O381" s="693"/>
      <c r="P381" s="693"/>
      <c r="Q381" s="693"/>
    </row>
    <row r="382" spans="1:17" ht="13.5">
      <c r="A382" s="693"/>
      <c r="B382" s="693"/>
      <c r="C382" s="693"/>
      <c r="D382" s="693"/>
      <c r="E382" s="693"/>
      <c r="F382" s="693"/>
      <c r="G382" s="693"/>
      <c r="H382" s="693"/>
      <c r="I382" s="693"/>
      <c r="J382" s="693"/>
      <c r="K382" s="693"/>
      <c r="L382" s="693"/>
      <c r="M382" s="693"/>
      <c r="N382" s="693"/>
      <c r="O382" s="693"/>
      <c r="P382" s="693"/>
      <c r="Q382" s="693"/>
    </row>
    <row r="383" spans="1:17" ht="13.5">
      <c r="A383" s="693"/>
      <c r="B383" s="693"/>
      <c r="C383" s="693"/>
      <c r="D383" s="693"/>
      <c r="E383" s="693"/>
      <c r="F383" s="693"/>
      <c r="G383" s="693"/>
      <c r="H383" s="693"/>
      <c r="I383" s="693"/>
      <c r="J383" s="693"/>
      <c r="K383" s="693"/>
      <c r="L383" s="693"/>
      <c r="M383" s="693"/>
      <c r="N383" s="693"/>
      <c r="O383" s="693"/>
      <c r="P383" s="693"/>
      <c r="Q383" s="693"/>
    </row>
    <row r="384" spans="1:17" ht="13.5">
      <c r="A384" s="693"/>
      <c r="B384" s="693"/>
      <c r="C384" s="693"/>
      <c r="D384" s="693"/>
      <c r="E384" s="693"/>
      <c r="F384" s="693"/>
      <c r="G384" s="693"/>
      <c r="H384" s="693"/>
      <c r="I384" s="693"/>
      <c r="J384" s="693"/>
      <c r="K384" s="693"/>
      <c r="L384" s="693"/>
      <c r="M384" s="693"/>
      <c r="N384" s="693"/>
      <c r="O384" s="693"/>
      <c r="P384" s="693"/>
      <c r="Q384" s="693"/>
    </row>
    <row r="385" spans="1:17" ht="13.5">
      <c r="A385" s="693"/>
      <c r="B385" s="693"/>
      <c r="C385" s="693"/>
      <c r="D385" s="693"/>
      <c r="E385" s="693"/>
      <c r="F385" s="693"/>
      <c r="G385" s="693"/>
      <c r="H385" s="693"/>
      <c r="I385" s="693"/>
      <c r="J385" s="693"/>
      <c r="K385" s="693"/>
      <c r="L385" s="693"/>
      <c r="M385" s="693"/>
      <c r="N385" s="693"/>
      <c r="O385" s="693"/>
      <c r="P385" s="693"/>
      <c r="Q385" s="693"/>
    </row>
    <row r="386" spans="1:17" ht="13.5">
      <c r="A386" s="693"/>
      <c r="B386" s="693"/>
      <c r="C386" s="693"/>
      <c r="D386" s="693"/>
      <c r="E386" s="693"/>
      <c r="F386" s="693"/>
      <c r="G386" s="693"/>
      <c r="H386" s="693"/>
      <c r="I386" s="693"/>
      <c r="J386" s="693"/>
      <c r="K386" s="693"/>
      <c r="L386" s="693"/>
      <c r="M386" s="693"/>
      <c r="N386" s="693"/>
      <c r="O386" s="693"/>
      <c r="P386" s="693"/>
      <c r="Q386" s="693"/>
    </row>
    <row r="387" spans="1:17" ht="13.5">
      <c r="A387" s="693"/>
      <c r="B387" s="693"/>
      <c r="C387" s="693"/>
      <c r="D387" s="693"/>
      <c r="E387" s="693"/>
      <c r="F387" s="693"/>
      <c r="G387" s="693"/>
      <c r="H387" s="693"/>
      <c r="I387" s="693"/>
      <c r="J387" s="693"/>
      <c r="K387" s="693"/>
      <c r="L387" s="693"/>
      <c r="M387" s="693"/>
      <c r="N387" s="693"/>
      <c r="O387" s="693"/>
      <c r="P387" s="693"/>
      <c r="Q387" s="693"/>
    </row>
    <row r="388" spans="1:17" ht="13.5">
      <c r="A388" s="693"/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  <c r="L388" s="693"/>
      <c r="M388" s="693"/>
      <c r="N388" s="693"/>
      <c r="O388" s="693"/>
      <c r="P388" s="693"/>
      <c r="Q388" s="693"/>
    </row>
    <row r="389" spans="1:17" ht="13.5">
      <c r="A389" s="693"/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  <c r="L389" s="693"/>
      <c r="M389" s="693"/>
      <c r="N389" s="693"/>
      <c r="O389" s="693"/>
      <c r="P389" s="693"/>
      <c r="Q389" s="693"/>
    </row>
    <row r="390" spans="1:17" ht="13.5">
      <c r="A390" s="693"/>
      <c r="B390" s="693"/>
      <c r="C390" s="693"/>
      <c r="D390" s="693"/>
      <c r="E390" s="693"/>
      <c r="F390" s="693"/>
      <c r="G390" s="693"/>
      <c r="H390" s="693"/>
      <c r="I390" s="693"/>
      <c r="J390" s="693"/>
      <c r="K390" s="693"/>
      <c r="L390" s="693"/>
      <c r="M390" s="693"/>
      <c r="N390" s="693"/>
      <c r="O390" s="693"/>
      <c r="P390" s="693"/>
      <c r="Q390" s="693"/>
    </row>
    <row r="391" spans="1:17" ht="13.5">
      <c r="A391" s="693"/>
      <c r="B391" s="693"/>
      <c r="C391" s="693"/>
      <c r="D391" s="693"/>
      <c r="E391" s="693"/>
      <c r="F391" s="693"/>
      <c r="G391" s="693"/>
      <c r="H391" s="693"/>
      <c r="I391" s="693"/>
      <c r="J391" s="693"/>
      <c r="K391" s="693"/>
      <c r="L391" s="693"/>
      <c r="M391" s="693"/>
      <c r="N391" s="693"/>
      <c r="O391" s="693"/>
      <c r="P391" s="693"/>
      <c r="Q391" s="693"/>
    </row>
    <row r="392" spans="1:17" ht="13.5">
      <c r="A392" s="693"/>
      <c r="B392" s="693"/>
      <c r="C392" s="693"/>
      <c r="D392" s="693"/>
      <c r="E392" s="693"/>
      <c r="F392" s="693"/>
      <c r="G392" s="693"/>
      <c r="H392" s="693"/>
      <c r="I392" s="693"/>
      <c r="J392" s="693"/>
      <c r="K392" s="693"/>
      <c r="L392" s="693"/>
      <c r="M392" s="693"/>
      <c r="N392" s="693"/>
      <c r="O392" s="693"/>
      <c r="P392" s="693"/>
      <c r="Q392" s="693"/>
    </row>
    <row r="393" spans="1:17" ht="13.5">
      <c r="A393" s="693"/>
      <c r="B393" s="693"/>
      <c r="C393" s="693"/>
      <c r="D393" s="693"/>
      <c r="E393" s="693"/>
      <c r="F393" s="693"/>
      <c r="G393" s="693"/>
      <c r="H393" s="693"/>
      <c r="I393" s="693"/>
      <c r="J393" s="693"/>
      <c r="K393" s="693"/>
      <c r="L393" s="693"/>
      <c r="M393" s="693"/>
      <c r="N393" s="693"/>
      <c r="O393" s="693"/>
      <c r="P393" s="693"/>
      <c r="Q393" s="693"/>
    </row>
    <row r="394" spans="1:17" ht="13.5">
      <c r="A394" s="693"/>
      <c r="B394" s="693"/>
      <c r="C394" s="693"/>
      <c r="D394" s="693"/>
      <c r="E394" s="693"/>
      <c r="F394" s="693"/>
      <c r="G394" s="693"/>
      <c r="H394" s="693"/>
      <c r="I394" s="693"/>
      <c r="J394" s="693"/>
      <c r="K394" s="693"/>
      <c r="L394" s="693"/>
      <c r="M394" s="693"/>
      <c r="N394" s="693"/>
      <c r="O394" s="693"/>
      <c r="P394" s="693"/>
      <c r="Q394" s="693"/>
    </row>
    <row r="395" spans="1:17" ht="13.5">
      <c r="A395" s="693"/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  <c r="L395" s="693"/>
      <c r="M395" s="693"/>
      <c r="N395" s="693"/>
      <c r="O395" s="693"/>
      <c r="P395" s="693"/>
      <c r="Q395" s="693"/>
    </row>
    <row r="396" spans="1:17" ht="13.5">
      <c r="A396" s="693"/>
      <c r="B396" s="693"/>
      <c r="C396" s="693"/>
      <c r="D396" s="693"/>
      <c r="E396" s="693"/>
      <c r="F396" s="693"/>
      <c r="G396" s="693"/>
      <c r="H396" s="693"/>
      <c r="I396" s="693"/>
      <c r="J396" s="693"/>
      <c r="K396" s="693"/>
      <c r="L396" s="693"/>
      <c r="M396" s="693"/>
      <c r="N396" s="693"/>
      <c r="O396" s="693"/>
      <c r="P396" s="693"/>
      <c r="Q396" s="693"/>
    </row>
    <row r="397" spans="1:17" ht="13.5">
      <c r="A397" s="693"/>
      <c r="B397" s="693"/>
      <c r="C397" s="693"/>
      <c r="D397" s="693"/>
      <c r="E397" s="693"/>
      <c r="F397" s="693"/>
      <c r="G397" s="693"/>
      <c r="H397" s="693"/>
      <c r="I397" s="693"/>
      <c r="J397" s="693"/>
      <c r="K397" s="693"/>
      <c r="L397" s="693"/>
      <c r="M397" s="693"/>
      <c r="N397" s="693"/>
      <c r="O397" s="693"/>
      <c r="P397" s="693"/>
      <c r="Q397" s="693"/>
    </row>
    <row r="398" spans="1:17" ht="13.5">
      <c r="A398" s="693"/>
      <c r="B398" s="693"/>
      <c r="C398" s="693"/>
      <c r="D398" s="693"/>
      <c r="E398" s="693"/>
      <c r="F398" s="693"/>
      <c r="G398" s="693"/>
      <c r="H398" s="693"/>
      <c r="I398" s="693"/>
      <c r="J398" s="693"/>
      <c r="K398" s="693"/>
      <c r="L398" s="693"/>
      <c r="M398" s="693"/>
      <c r="N398" s="693"/>
      <c r="O398" s="693"/>
      <c r="P398" s="693"/>
      <c r="Q398" s="693"/>
    </row>
    <row r="399" spans="1:17" ht="13.5">
      <c r="A399" s="693"/>
      <c r="B399" s="693"/>
      <c r="C399" s="693"/>
      <c r="D399" s="693"/>
      <c r="E399" s="693"/>
      <c r="F399" s="693"/>
      <c r="G399" s="693"/>
      <c r="H399" s="693"/>
      <c r="I399" s="693"/>
      <c r="J399" s="693"/>
      <c r="K399" s="693"/>
      <c r="L399" s="693"/>
      <c r="M399" s="693"/>
      <c r="N399" s="693"/>
      <c r="O399" s="693"/>
      <c r="P399" s="693"/>
      <c r="Q399" s="693"/>
    </row>
    <row r="400" spans="1:17" ht="13.5">
      <c r="A400" s="693"/>
      <c r="B400" s="693"/>
      <c r="C400" s="693"/>
      <c r="D400" s="693"/>
      <c r="E400" s="693"/>
      <c r="F400" s="693"/>
      <c r="G400" s="693"/>
      <c r="H400" s="693"/>
      <c r="I400" s="693"/>
      <c r="J400" s="693"/>
      <c r="K400" s="693"/>
      <c r="L400" s="693"/>
      <c r="M400" s="693"/>
      <c r="N400" s="693"/>
      <c r="O400" s="693"/>
      <c r="P400" s="693"/>
      <c r="Q400" s="693"/>
    </row>
    <row r="401" spans="1:17" ht="13.5">
      <c r="A401" s="693"/>
      <c r="B401" s="693"/>
      <c r="C401" s="693"/>
      <c r="D401" s="693"/>
      <c r="E401" s="693"/>
      <c r="F401" s="693"/>
      <c r="G401" s="693"/>
      <c r="H401" s="693"/>
      <c r="I401" s="693"/>
      <c r="J401" s="693"/>
      <c r="K401" s="693"/>
      <c r="L401" s="693"/>
      <c r="M401" s="693"/>
      <c r="N401" s="693"/>
      <c r="O401" s="693"/>
      <c r="P401" s="693"/>
      <c r="Q401" s="693"/>
    </row>
    <row r="402" spans="1:17" ht="13.5">
      <c r="A402" s="693"/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3"/>
      <c r="N402" s="693"/>
      <c r="O402" s="693"/>
      <c r="P402" s="693"/>
      <c r="Q402" s="693"/>
    </row>
    <row r="403" spans="1:17" ht="13.5">
      <c r="A403" s="693"/>
      <c r="B403" s="693"/>
      <c r="C403" s="693"/>
      <c r="D403" s="693"/>
      <c r="E403" s="693"/>
      <c r="F403" s="693"/>
      <c r="G403" s="693"/>
      <c r="H403" s="693"/>
      <c r="I403" s="693"/>
      <c r="J403" s="693"/>
      <c r="K403" s="693"/>
      <c r="L403" s="693"/>
      <c r="M403" s="693"/>
      <c r="N403" s="693"/>
      <c r="O403" s="693"/>
      <c r="P403" s="693"/>
      <c r="Q403" s="693"/>
    </row>
    <row r="404" spans="1:17" ht="13.5">
      <c r="A404" s="693"/>
      <c r="B404" s="693"/>
      <c r="C404" s="693"/>
      <c r="D404" s="693"/>
      <c r="E404" s="693"/>
      <c r="F404" s="693"/>
      <c r="G404" s="693"/>
      <c r="H404" s="693"/>
      <c r="I404" s="693"/>
      <c r="J404" s="693"/>
      <c r="K404" s="693"/>
      <c r="L404" s="693"/>
      <c r="M404" s="693"/>
      <c r="N404" s="693"/>
      <c r="O404" s="693"/>
      <c r="P404" s="693"/>
      <c r="Q404" s="693"/>
    </row>
    <row r="405" spans="1:17" ht="13.5">
      <c r="A405" s="693"/>
      <c r="B405" s="693"/>
      <c r="C405" s="693"/>
      <c r="D405" s="693"/>
      <c r="E405" s="693"/>
      <c r="F405" s="693"/>
      <c r="G405" s="693"/>
      <c r="H405" s="693"/>
      <c r="I405" s="693"/>
      <c r="J405" s="693"/>
      <c r="K405" s="693"/>
      <c r="L405" s="693"/>
      <c r="M405" s="693"/>
      <c r="N405" s="693"/>
      <c r="O405" s="693"/>
      <c r="P405" s="693"/>
      <c r="Q405" s="693"/>
    </row>
    <row r="406" spans="1:17" ht="13.5">
      <c r="A406" s="693"/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  <c r="L406" s="693"/>
      <c r="M406" s="693"/>
      <c r="N406" s="693"/>
      <c r="O406" s="693"/>
      <c r="P406" s="693"/>
      <c r="Q406" s="693"/>
    </row>
    <row r="407" spans="1:17" ht="13.5">
      <c r="A407" s="693"/>
      <c r="B407" s="693"/>
      <c r="C407" s="693"/>
      <c r="D407" s="693"/>
      <c r="E407" s="693"/>
      <c r="F407" s="693"/>
      <c r="G407" s="693"/>
      <c r="H407" s="693"/>
      <c r="I407" s="693"/>
      <c r="J407" s="693"/>
      <c r="K407" s="693"/>
      <c r="L407" s="693"/>
      <c r="M407" s="693"/>
      <c r="N407" s="693"/>
      <c r="O407" s="693"/>
      <c r="P407" s="693"/>
      <c r="Q407" s="693"/>
    </row>
    <row r="408" spans="1:17" ht="13.5">
      <c r="A408" s="693"/>
      <c r="B408" s="693"/>
      <c r="C408" s="693"/>
      <c r="D408" s="693"/>
      <c r="E408" s="693"/>
      <c r="F408" s="693"/>
      <c r="G408" s="693"/>
      <c r="H408" s="693"/>
      <c r="I408" s="693"/>
      <c r="J408" s="693"/>
      <c r="K408" s="693"/>
      <c r="L408" s="693"/>
      <c r="M408" s="693"/>
      <c r="N408" s="693"/>
      <c r="O408" s="693"/>
      <c r="P408" s="693"/>
      <c r="Q408" s="693"/>
    </row>
    <row r="409" spans="1:17" ht="13.5">
      <c r="A409" s="693"/>
      <c r="B409" s="693"/>
      <c r="C409" s="693"/>
      <c r="D409" s="693"/>
      <c r="E409" s="693"/>
      <c r="F409" s="693"/>
      <c r="G409" s="693"/>
      <c r="H409" s="693"/>
      <c r="I409" s="693"/>
      <c r="J409" s="693"/>
      <c r="K409" s="693"/>
      <c r="L409" s="693"/>
      <c r="M409" s="693"/>
      <c r="N409" s="693"/>
      <c r="O409" s="693"/>
      <c r="P409" s="693"/>
      <c r="Q409" s="693"/>
    </row>
    <row r="410" spans="1:17" ht="13.5">
      <c r="A410" s="693"/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  <c r="L410" s="693"/>
      <c r="M410" s="693"/>
      <c r="N410" s="693"/>
      <c r="O410" s="693"/>
      <c r="P410" s="693"/>
      <c r="Q410" s="693"/>
    </row>
    <row r="411" spans="1:17" ht="13.5">
      <c r="A411" s="693"/>
      <c r="B411" s="693"/>
      <c r="C411" s="693"/>
      <c r="D411" s="693"/>
      <c r="E411" s="693"/>
      <c r="F411" s="693"/>
      <c r="G411" s="693"/>
      <c r="H411" s="693"/>
      <c r="I411" s="693"/>
      <c r="J411" s="693"/>
      <c r="K411" s="693"/>
      <c r="L411" s="693"/>
      <c r="M411" s="693"/>
      <c r="N411" s="693"/>
      <c r="O411" s="693"/>
      <c r="P411" s="693"/>
      <c r="Q411" s="693"/>
    </row>
    <row r="412" spans="1:17" ht="13.5">
      <c r="A412" s="693"/>
      <c r="B412" s="693"/>
      <c r="C412" s="693"/>
      <c r="D412" s="693"/>
      <c r="E412" s="693"/>
      <c r="F412" s="693"/>
      <c r="G412" s="693"/>
      <c r="H412" s="693"/>
      <c r="I412" s="693"/>
      <c r="J412" s="693"/>
      <c r="K412" s="693"/>
      <c r="L412" s="693"/>
      <c r="M412" s="693"/>
      <c r="N412" s="693"/>
      <c r="O412" s="693"/>
      <c r="P412" s="693"/>
      <c r="Q412" s="693"/>
    </row>
    <row r="413" spans="1:17" ht="13.5">
      <c r="A413" s="693"/>
      <c r="B413" s="693"/>
      <c r="C413" s="693"/>
      <c r="D413" s="693"/>
      <c r="E413" s="693"/>
      <c r="F413" s="693"/>
      <c r="G413" s="693"/>
      <c r="H413" s="693"/>
      <c r="I413" s="693"/>
      <c r="J413" s="693"/>
      <c r="K413" s="693"/>
      <c r="L413" s="693"/>
      <c r="M413" s="693"/>
      <c r="N413" s="693"/>
      <c r="O413" s="693"/>
      <c r="P413" s="693"/>
      <c r="Q413" s="693"/>
    </row>
    <row r="414" spans="1:17" ht="13.5">
      <c r="A414" s="693"/>
      <c r="B414" s="693"/>
      <c r="C414" s="693"/>
      <c r="D414" s="693"/>
      <c r="E414" s="693"/>
      <c r="F414" s="693"/>
      <c r="G414" s="693"/>
      <c r="H414" s="693"/>
      <c r="I414" s="693"/>
      <c r="J414" s="693"/>
      <c r="K414" s="693"/>
      <c r="L414" s="693"/>
      <c r="M414" s="693"/>
      <c r="N414" s="693"/>
      <c r="O414" s="693"/>
      <c r="P414" s="693"/>
      <c r="Q414" s="693"/>
    </row>
    <row r="415" spans="1:17" ht="13.5">
      <c r="A415" s="693"/>
      <c r="B415" s="693"/>
      <c r="C415" s="693"/>
      <c r="D415" s="693"/>
      <c r="E415" s="693"/>
      <c r="F415" s="693"/>
      <c r="G415" s="693"/>
      <c r="H415" s="693"/>
      <c r="I415" s="693"/>
      <c r="J415" s="693"/>
      <c r="K415" s="693"/>
      <c r="L415" s="693"/>
      <c r="M415" s="693"/>
      <c r="N415" s="693"/>
      <c r="O415" s="693"/>
      <c r="P415" s="693"/>
      <c r="Q415" s="693"/>
    </row>
    <row r="416" spans="1:17" ht="13.5">
      <c r="A416" s="693"/>
      <c r="B416" s="693"/>
      <c r="C416" s="693"/>
      <c r="D416" s="693"/>
      <c r="E416" s="693"/>
      <c r="F416" s="693"/>
      <c r="G416" s="693"/>
      <c r="H416" s="693"/>
      <c r="I416" s="693"/>
      <c r="J416" s="693"/>
      <c r="K416" s="693"/>
      <c r="L416" s="693"/>
      <c r="M416" s="693"/>
      <c r="N416" s="693"/>
      <c r="O416" s="693"/>
      <c r="P416" s="693"/>
      <c r="Q416" s="693"/>
    </row>
    <row r="417" spans="1:17" ht="13.5">
      <c r="A417" s="693"/>
      <c r="B417" s="693"/>
      <c r="C417" s="693"/>
      <c r="D417" s="693"/>
      <c r="E417" s="693"/>
      <c r="F417" s="693"/>
      <c r="G417" s="693"/>
      <c r="H417" s="693"/>
      <c r="I417" s="693"/>
      <c r="J417" s="693"/>
      <c r="K417" s="693"/>
      <c r="L417" s="693"/>
      <c r="M417" s="693"/>
      <c r="N417" s="693"/>
      <c r="O417" s="693"/>
      <c r="P417" s="693"/>
      <c r="Q417" s="693"/>
    </row>
    <row r="418" spans="1:17" ht="13.5">
      <c r="A418" s="693"/>
      <c r="B418" s="693"/>
      <c r="C418" s="693"/>
      <c r="D418" s="693"/>
      <c r="E418" s="693"/>
      <c r="F418" s="693"/>
      <c r="G418" s="693"/>
      <c r="H418" s="693"/>
      <c r="I418" s="693"/>
      <c r="J418" s="693"/>
      <c r="K418" s="693"/>
      <c r="L418" s="693"/>
      <c r="M418" s="693"/>
      <c r="N418" s="693"/>
      <c r="O418" s="693"/>
      <c r="P418" s="693"/>
      <c r="Q418" s="693"/>
    </row>
    <row r="419" spans="1:17" ht="13.5">
      <c r="A419" s="693"/>
      <c r="B419" s="693"/>
      <c r="C419" s="693"/>
      <c r="D419" s="693"/>
      <c r="E419" s="693"/>
      <c r="F419" s="693"/>
      <c r="G419" s="693"/>
      <c r="H419" s="693"/>
      <c r="I419" s="693"/>
      <c r="J419" s="693"/>
      <c r="K419" s="693"/>
      <c r="L419" s="693"/>
      <c r="M419" s="693"/>
      <c r="N419" s="693"/>
      <c r="O419" s="693"/>
      <c r="P419" s="693"/>
      <c r="Q419" s="693"/>
    </row>
    <row r="420" spans="1:17" ht="13.5">
      <c r="A420" s="693"/>
      <c r="B420" s="693"/>
      <c r="C420" s="693"/>
      <c r="D420" s="693"/>
      <c r="E420" s="693"/>
      <c r="F420" s="693"/>
      <c r="G420" s="693"/>
      <c r="H420" s="693"/>
      <c r="I420" s="693"/>
      <c r="J420" s="693"/>
      <c r="K420" s="693"/>
      <c r="L420" s="693"/>
      <c r="M420" s="693"/>
      <c r="N420" s="693"/>
      <c r="O420" s="693"/>
      <c r="P420" s="693"/>
      <c r="Q420" s="693"/>
    </row>
    <row r="421" spans="1:17" ht="13.5">
      <c r="A421" s="693"/>
      <c r="B421" s="693"/>
      <c r="C421" s="693"/>
      <c r="D421" s="693"/>
      <c r="E421" s="693"/>
      <c r="F421" s="693"/>
      <c r="G421" s="693"/>
      <c r="H421" s="693"/>
      <c r="I421" s="693"/>
      <c r="J421" s="693"/>
      <c r="K421" s="693"/>
      <c r="L421" s="693"/>
      <c r="M421" s="693"/>
      <c r="N421" s="693"/>
      <c r="O421" s="693"/>
      <c r="P421" s="693"/>
      <c r="Q421" s="693"/>
    </row>
    <row r="422" spans="1:17" ht="13.5">
      <c r="A422" s="693"/>
      <c r="B422" s="693"/>
      <c r="C422" s="693"/>
      <c r="D422" s="693"/>
      <c r="E422" s="693"/>
      <c r="F422" s="693"/>
      <c r="G422" s="693"/>
      <c r="H422" s="693"/>
      <c r="I422" s="693"/>
      <c r="J422" s="693"/>
      <c r="K422" s="693"/>
      <c r="L422" s="693"/>
      <c r="M422" s="693"/>
      <c r="N422" s="693"/>
      <c r="O422" s="693"/>
      <c r="P422" s="693"/>
      <c r="Q422" s="693"/>
    </row>
    <row r="423" spans="1:17" ht="13.5">
      <c r="A423" s="693"/>
      <c r="B423" s="693"/>
      <c r="C423" s="693"/>
      <c r="D423" s="693"/>
      <c r="E423" s="693"/>
      <c r="F423" s="693"/>
      <c r="G423" s="693"/>
      <c r="H423" s="693"/>
      <c r="I423" s="693"/>
      <c r="J423" s="693"/>
      <c r="K423" s="693"/>
      <c r="L423" s="693"/>
      <c r="M423" s="693"/>
      <c r="N423" s="693"/>
      <c r="O423" s="693"/>
      <c r="P423" s="693"/>
      <c r="Q423" s="693"/>
    </row>
    <row r="424" spans="1:17" ht="13.5">
      <c r="A424" s="693"/>
      <c r="B424" s="693"/>
      <c r="C424" s="693"/>
      <c r="D424" s="693"/>
      <c r="E424" s="693"/>
      <c r="F424" s="693"/>
      <c r="G424" s="693"/>
      <c r="H424" s="693"/>
      <c r="I424" s="693"/>
      <c r="J424" s="693"/>
      <c r="K424" s="693"/>
      <c r="L424" s="693"/>
      <c r="M424" s="693"/>
      <c r="N424" s="693"/>
      <c r="O424" s="693"/>
      <c r="P424" s="693"/>
      <c r="Q424" s="693"/>
    </row>
    <row r="425" spans="1:17" ht="13.5">
      <c r="A425" s="693"/>
      <c r="B425" s="693"/>
      <c r="C425" s="693"/>
      <c r="D425" s="693"/>
      <c r="E425" s="693"/>
      <c r="F425" s="693"/>
      <c r="G425" s="693"/>
      <c r="H425" s="693"/>
      <c r="I425" s="693"/>
      <c r="J425" s="693"/>
      <c r="K425" s="693"/>
      <c r="L425" s="693"/>
      <c r="M425" s="693"/>
      <c r="N425" s="693"/>
      <c r="O425" s="693"/>
      <c r="P425" s="693"/>
      <c r="Q425" s="693"/>
    </row>
    <row r="426" spans="1:17" ht="13.5">
      <c r="A426" s="693"/>
      <c r="B426" s="693"/>
      <c r="C426" s="693"/>
      <c r="D426" s="693"/>
      <c r="E426" s="693"/>
      <c r="F426" s="693"/>
      <c r="G426" s="693"/>
      <c r="H426" s="693"/>
      <c r="I426" s="693"/>
      <c r="J426" s="693"/>
      <c r="K426" s="693"/>
      <c r="L426" s="693"/>
      <c r="M426" s="693"/>
      <c r="N426" s="693"/>
      <c r="O426" s="693"/>
      <c r="P426" s="693"/>
      <c r="Q426" s="693"/>
    </row>
    <row r="427" spans="1:17" ht="13.5">
      <c r="A427" s="693"/>
      <c r="B427" s="693"/>
      <c r="C427" s="693"/>
      <c r="D427" s="693"/>
      <c r="E427" s="693"/>
      <c r="F427" s="693"/>
      <c r="G427" s="693"/>
      <c r="H427" s="693"/>
      <c r="I427" s="693"/>
      <c r="J427" s="693"/>
      <c r="K427" s="693"/>
      <c r="L427" s="693"/>
      <c r="M427" s="693"/>
      <c r="N427" s="693"/>
      <c r="O427" s="693"/>
      <c r="P427" s="693"/>
      <c r="Q427" s="693"/>
    </row>
    <row r="428" spans="1:17" ht="13.5">
      <c r="A428" s="693"/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3"/>
      <c r="N428" s="693"/>
      <c r="O428" s="693"/>
      <c r="P428" s="693"/>
      <c r="Q428" s="693"/>
    </row>
    <row r="429" spans="1:17" ht="13.5">
      <c r="A429" s="693"/>
      <c r="B429" s="693"/>
      <c r="C429" s="693"/>
      <c r="D429" s="693"/>
      <c r="E429" s="693"/>
      <c r="F429" s="693"/>
      <c r="G429" s="693"/>
      <c r="H429" s="693"/>
      <c r="I429" s="693"/>
      <c r="J429" s="693"/>
      <c r="K429" s="693"/>
      <c r="L429" s="693"/>
      <c r="M429" s="693"/>
      <c r="N429" s="693"/>
      <c r="O429" s="693"/>
      <c r="P429" s="693"/>
      <c r="Q429" s="693"/>
    </row>
    <row r="430" spans="1:17" ht="13.5">
      <c r="A430" s="693"/>
      <c r="B430" s="693"/>
      <c r="C430" s="693"/>
      <c r="D430" s="693"/>
      <c r="E430" s="693"/>
      <c r="F430" s="693"/>
      <c r="G430" s="693"/>
      <c r="H430" s="693"/>
      <c r="I430" s="693"/>
      <c r="J430" s="693"/>
      <c r="K430" s="693"/>
      <c r="L430" s="693"/>
      <c r="M430" s="693"/>
      <c r="N430" s="693"/>
      <c r="O430" s="693"/>
      <c r="P430" s="693"/>
      <c r="Q430" s="693"/>
    </row>
    <row r="431" spans="1:17" ht="13.5">
      <c r="A431" s="693"/>
      <c r="B431" s="693"/>
      <c r="C431" s="693"/>
      <c r="D431" s="693"/>
      <c r="E431" s="693"/>
      <c r="F431" s="693"/>
      <c r="G431" s="693"/>
      <c r="H431" s="693"/>
      <c r="I431" s="693"/>
      <c r="J431" s="693"/>
      <c r="K431" s="693"/>
      <c r="L431" s="693"/>
      <c r="M431" s="693"/>
      <c r="N431" s="693"/>
      <c r="O431" s="693"/>
      <c r="P431" s="693"/>
      <c r="Q431" s="693"/>
    </row>
    <row r="432" spans="1:17" ht="13.5">
      <c r="A432" s="693"/>
      <c r="B432" s="693"/>
      <c r="C432" s="693"/>
      <c r="D432" s="693"/>
      <c r="E432" s="693"/>
      <c r="F432" s="693"/>
      <c r="G432" s="693"/>
      <c r="H432" s="693"/>
      <c r="I432" s="693"/>
      <c r="J432" s="693"/>
      <c r="K432" s="693"/>
      <c r="L432" s="693"/>
      <c r="M432" s="693"/>
      <c r="N432" s="693"/>
      <c r="O432" s="693"/>
      <c r="P432" s="693"/>
      <c r="Q432" s="693"/>
    </row>
    <row r="433" spans="1:17" ht="13.5">
      <c r="A433" s="693"/>
      <c r="B433" s="693"/>
      <c r="C433" s="693"/>
      <c r="D433" s="693"/>
      <c r="E433" s="693"/>
      <c r="F433" s="693"/>
      <c r="G433" s="693"/>
      <c r="H433" s="693"/>
      <c r="I433" s="693"/>
      <c r="J433" s="693"/>
      <c r="K433" s="693"/>
      <c r="L433" s="693"/>
      <c r="M433" s="693"/>
      <c r="N433" s="693"/>
      <c r="O433" s="693"/>
      <c r="P433" s="693"/>
      <c r="Q433" s="693"/>
    </row>
    <row r="434" spans="1:17" ht="13.5">
      <c r="A434" s="693"/>
      <c r="B434" s="693"/>
      <c r="C434" s="693"/>
      <c r="D434" s="693"/>
      <c r="E434" s="693"/>
      <c r="F434" s="693"/>
      <c r="G434" s="693"/>
      <c r="H434" s="693"/>
      <c r="I434" s="693"/>
      <c r="J434" s="693"/>
      <c r="K434" s="693"/>
      <c r="L434" s="693"/>
      <c r="M434" s="693"/>
      <c r="N434" s="693"/>
      <c r="O434" s="693"/>
      <c r="P434" s="693"/>
      <c r="Q434" s="693"/>
    </row>
    <row r="435" spans="1:17" ht="13.5">
      <c r="A435" s="693"/>
      <c r="B435" s="693"/>
      <c r="C435" s="693"/>
      <c r="D435" s="693"/>
      <c r="E435" s="693"/>
      <c r="F435" s="693"/>
      <c r="G435" s="693"/>
      <c r="H435" s="693"/>
      <c r="I435" s="693"/>
      <c r="J435" s="693"/>
      <c r="K435" s="693"/>
      <c r="L435" s="693"/>
      <c r="M435" s="693"/>
      <c r="N435" s="693"/>
      <c r="O435" s="693"/>
      <c r="P435" s="693"/>
      <c r="Q435" s="693"/>
    </row>
    <row r="436" spans="1:17" ht="13.5">
      <c r="A436" s="693"/>
      <c r="B436" s="693"/>
      <c r="C436" s="693"/>
      <c r="D436" s="693"/>
      <c r="E436" s="693"/>
      <c r="F436" s="693"/>
      <c r="G436" s="693"/>
      <c r="H436" s="693"/>
      <c r="I436" s="693"/>
      <c r="J436" s="693"/>
      <c r="K436" s="693"/>
      <c r="L436" s="693"/>
      <c r="M436" s="693"/>
      <c r="N436" s="693"/>
      <c r="O436" s="693"/>
      <c r="P436" s="693"/>
      <c r="Q436" s="693"/>
    </row>
    <row r="437" spans="1:17" ht="13.5">
      <c r="A437" s="693"/>
      <c r="B437" s="693"/>
      <c r="C437" s="693"/>
      <c r="D437" s="693"/>
      <c r="E437" s="693"/>
      <c r="F437" s="693"/>
      <c r="G437" s="693"/>
      <c r="H437" s="693"/>
      <c r="I437" s="693"/>
      <c r="J437" s="693"/>
      <c r="K437" s="693"/>
      <c r="L437" s="693"/>
      <c r="M437" s="693"/>
      <c r="N437" s="693"/>
      <c r="O437" s="693"/>
      <c r="P437" s="693"/>
      <c r="Q437" s="693"/>
    </row>
    <row r="438" spans="1:17" ht="13.5">
      <c r="A438" s="693"/>
      <c r="B438" s="693"/>
      <c r="C438" s="693"/>
      <c r="D438" s="693"/>
      <c r="E438" s="693"/>
      <c r="F438" s="693"/>
      <c r="G438" s="693"/>
      <c r="H438" s="693"/>
      <c r="I438" s="693"/>
      <c r="J438" s="693"/>
      <c r="K438" s="693"/>
      <c r="L438" s="693"/>
      <c r="M438" s="693"/>
      <c r="N438" s="693"/>
      <c r="O438" s="693"/>
      <c r="P438" s="693"/>
      <c r="Q438" s="693"/>
    </row>
    <row r="439" spans="1:17" ht="13.5">
      <c r="A439" s="693"/>
      <c r="B439" s="693"/>
      <c r="C439" s="693"/>
      <c r="D439" s="693"/>
      <c r="E439" s="693"/>
      <c r="F439" s="693"/>
      <c r="G439" s="693"/>
      <c r="H439" s="693"/>
      <c r="I439" s="693"/>
      <c r="J439" s="693"/>
      <c r="K439" s="693"/>
      <c r="L439" s="693"/>
      <c r="M439" s="693"/>
      <c r="N439" s="693"/>
      <c r="O439" s="693"/>
      <c r="P439" s="693"/>
      <c r="Q439" s="693"/>
    </row>
    <row r="440" spans="1:17" ht="13.5">
      <c r="A440" s="693"/>
      <c r="B440" s="693"/>
      <c r="C440" s="693"/>
      <c r="D440" s="693"/>
      <c r="E440" s="693"/>
      <c r="F440" s="693"/>
      <c r="G440" s="693"/>
      <c r="H440" s="693"/>
      <c r="I440" s="693"/>
      <c r="J440" s="693"/>
      <c r="K440" s="693"/>
      <c r="L440" s="693"/>
      <c r="M440" s="693"/>
      <c r="N440" s="693"/>
      <c r="O440" s="693"/>
      <c r="P440" s="693"/>
      <c r="Q440" s="693"/>
    </row>
    <row r="441" spans="1:17" ht="13.5">
      <c r="A441" s="693"/>
      <c r="B441" s="693"/>
      <c r="C441" s="693"/>
      <c r="D441" s="693"/>
      <c r="E441" s="693"/>
      <c r="F441" s="693"/>
      <c r="G441" s="693"/>
      <c r="H441" s="693"/>
      <c r="I441" s="693"/>
      <c r="J441" s="693"/>
      <c r="K441" s="693"/>
      <c r="L441" s="693"/>
      <c r="M441" s="693"/>
      <c r="N441" s="693"/>
      <c r="O441" s="693"/>
      <c r="P441" s="693"/>
      <c r="Q441" s="693"/>
    </row>
    <row r="442" spans="1:17" ht="13.5">
      <c r="A442" s="693"/>
      <c r="B442" s="693"/>
      <c r="C442" s="693"/>
      <c r="D442" s="693"/>
      <c r="E442" s="693"/>
      <c r="F442" s="693"/>
      <c r="G442" s="693"/>
      <c r="H442" s="693"/>
      <c r="I442" s="693"/>
      <c r="J442" s="693"/>
      <c r="K442" s="693"/>
      <c r="L442" s="693"/>
      <c r="M442" s="693"/>
      <c r="N442" s="693"/>
      <c r="O442" s="693"/>
      <c r="P442" s="693"/>
      <c r="Q442" s="693"/>
    </row>
    <row r="443" spans="1:17" ht="13.5">
      <c r="A443" s="693"/>
      <c r="B443" s="693"/>
      <c r="C443" s="693"/>
      <c r="D443" s="693"/>
      <c r="E443" s="693"/>
      <c r="F443" s="693"/>
      <c r="G443" s="693"/>
      <c r="H443" s="693"/>
      <c r="I443" s="693"/>
      <c r="J443" s="693"/>
      <c r="K443" s="693"/>
      <c r="L443" s="693"/>
      <c r="M443" s="693"/>
      <c r="N443" s="693"/>
      <c r="O443" s="693"/>
      <c r="P443" s="693"/>
      <c r="Q443" s="693"/>
    </row>
    <row r="444" spans="1:17" ht="13.5">
      <c r="A444" s="693"/>
      <c r="B444" s="693"/>
      <c r="C444" s="693"/>
      <c r="D444" s="693"/>
      <c r="E444" s="693"/>
      <c r="F444" s="693"/>
      <c r="G444" s="693"/>
      <c r="H444" s="693"/>
      <c r="I444" s="693"/>
      <c r="J444" s="693"/>
      <c r="K444" s="693"/>
      <c r="L444" s="693"/>
      <c r="M444" s="693"/>
      <c r="N444" s="693"/>
      <c r="O444" s="693"/>
      <c r="P444" s="693"/>
      <c r="Q444" s="693"/>
    </row>
    <row r="445" spans="1:17" ht="13.5">
      <c r="A445" s="693"/>
      <c r="B445" s="693"/>
      <c r="C445" s="693"/>
      <c r="D445" s="693"/>
      <c r="E445" s="693"/>
      <c r="F445" s="693"/>
      <c r="G445" s="693"/>
      <c r="H445" s="693"/>
      <c r="I445" s="693"/>
      <c r="J445" s="693"/>
      <c r="K445" s="693"/>
      <c r="L445" s="693"/>
      <c r="M445" s="693"/>
      <c r="N445" s="693"/>
      <c r="O445" s="693"/>
      <c r="P445" s="693"/>
      <c r="Q445" s="693"/>
    </row>
    <row r="446" spans="1:17" ht="13.5">
      <c r="A446" s="693"/>
      <c r="B446" s="693"/>
      <c r="C446" s="693"/>
      <c r="D446" s="693"/>
      <c r="E446" s="693"/>
      <c r="F446" s="693"/>
      <c r="G446" s="693"/>
      <c r="H446" s="693"/>
      <c r="I446" s="693"/>
      <c r="J446" s="693"/>
      <c r="K446" s="693"/>
      <c r="L446" s="693"/>
      <c r="M446" s="693"/>
      <c r="N446" s="693"/>
      <c r="O446" s="693"/>
      <c r="P446" s="693"/>
      <c r="Q446" s="693"/>
    </row>
    <row r="447" spans="1:17" ht="13.5">
      <c r="A447" s="693"/>
      <c r="B447" s="693"/>
      <c r="C447" s="693"/>
      <c r="D447" s="693"/>
      <c r="E447" s="693"/>
      <c r="F447" s="693"/>
      <c r="G447" s="693"/>
      <c r="H447" s="693"/>
      <c r="I447" s="693"/>
      <c r="J447" s="693"/>
      <c r="K447" s="693"/>
      <c r="L447" s="693"/>
      <c r="M447" s="693"/>
      <c r="N447" s="693"/>
      <c r="O447" s="693"/>
      <c r="P447" s="693"/>
      <c r="Q447" s="693"/>
    </row>
    <row r="448" spans="1:17" ht="13.5">
      <c r="A448" s="693"/>
      <c r="B448" s="693"/>
      <c r="C448" s="693"/>
      <c r="D448" s="693"/>
      <c r="E448" s="693"/>
      <c r="F448" s="693"/>
      <c r="G448" s="693"/>
      <c r="H448" s="693"/>
      <c r="I448" s="693"/>
      <c r="J448" s="693"/>
      <c r="K448" s="693"/>
      <c r="L448" s="693"/>
      <c r="M448" s="693"/>
      <c r="N448" s="693"/>
      <c r="O448" s="693"/>
      <c r="P448" s="693"/>
      <c r="Q448" s="693"/>
    </row>
    <row r="449" spans="1:17" ht="13.5">
      <c r="A449" s="693"/>
      <c r="B449" s="693"/>
      <c r="C449" s="693"/>
      <c r="D449" s="693"/>
      <c r="E449" s="693"/>
      <c r="F449" s="693"/>
      <c r="G449" s="693"/>
      <c r="H449" s="693"/>
      <c r="I449" s="693"/>
      <c r="J449" s="693"/>
      <c r="K449" s="693"/>
      <c r="L449" s="693"/>
      <c r="M449" s="693"/>
      <c r="N449" s="693"/>
      <c r="O449" s="693"/>
      <c r="P449" s="693"/>
      <c r="Q449" s="693"/>
    </row>
    <row r="450" spans="1:17" ht="13.5">
      <c r="A450" s="693"/>
      <c r="B450" s="693"/>
      <c r="C450" s="693"/>
      <c r="D450" s="693"/>
      <c r="E450" s="693"/>
      <c r="F450" s="693"/>
      <c r="G450" s="693"/>
      <c r="H450" s="693"/>
      <c r="I450" s="693"/>
      <c r="J450" s="693"/>
      <c r="K450" s="693"/>
      <c r="L450" s="693"/>
      <c r="M450" s="693"/>
      <c r="N450" s="693"/>
      <c r="O450" s="693"/>
      <c r="P450" s="693"/>
      <c r="Q450" s="693"/>
    </row>
    <row r="451" spans="1:17" ht="13.5">
      <c r="A451" s="693"/>
      <c r="B451" s="693"/>
      <c r="C451" s="693"/>
      <c r="D451" s="693"/>
      <c r="E451" s="693"/>
      <c r="F451" s="693"/>
      <c r="G451" s="693"/>
      <c r="H451" s="693"/>
      <c r="I451" s="693"/>
      <c r="J451" s="693"/>
      <c r="K451" s="693"/>
      <c r="L451" s="693"/>
      <c r="M451" s="693"/>
      <c r="N451" s="693"/>
      <c r="O451" s="693"/>
      <c r="P451" s="693"/>
      <c r="Q451" s="693"/>
    </row>
    <row r="452" spans="1:17" ht="13.5">
      <c r="A452" s="693"/>
      <c r="B452" s="693"/>
      <c r="C452" s="693"/>
      <c r="D452" s="693"/>
      <c r="E452" s="693"/>
      <c r="F452" s="693"/>
      <c r="G452" s="693"/>
      <c r="H452" s="693"/>
      <c r="I452" s="693"/>
      <c r="J452" s="693"/>
      <c r="K452" s="693"/>
      <c r="L452" s="693"/>
      <c r="M452" s="693"/>
      <c r="N452" s="693"/>
      <c r="O452" s="693"/>
      <c r="P452" s="693"/>
      <c r="Q452" s="693"/>
    </row>
    <row r="453" spans="1:17" ht="13.5">
      <c r="A453" s="693"/>
      <c r="B453" s="693"/>
      <c r="C453" s="693"/>
      <c r="D453" s="693"/>
      <c r="E453" s="693"/>
      <c r="F453" s="693"/>
      <c r="G453" s="693"/>
      <c r="H453" s="693"/>
      <c r="I453" s="693"/>
      <c r="J453" s="693"/>
      <c r="K453" s="693"/>
      <c r="L453" s="693"/>
      <c r="M453" s="693"/>
      <c r="N453" s="693"/>
      <c r="O453" s="693"/>
      <c r="P453" s="693"/>
      <c r="Q453" s="693"/>
    </row>
    <row r="454" spans="1:17" ht="13.5">
      <c r="A454" s="693"/>
      <c r="B454" s="693"/>
      <c r="C454" s="693"/>
      <c r="D454" s="693"/>
      <c r="E454" s="693"/>
      <c r="F454" s="693"/>
      <c r="G454" s="693"/>
      <c r="H454" s="693"/>
      <c r="I454" s="693"/>
      <c r="J454" s="693"/>
      <c r="K454" s="693"/>
      <c r="L454" s="693"/>
      <c r="M454" s="693"/>
      <c r="N454" s="693"/>
      <c r="O454" s="693"/>
      <c r="P454" s="693"/>
      <c r="Q454" s="693"/>
    </row>
    <row r="455" spans="1:17" ht="13.5">
      <c r="A455" s="693"/>
      <c r="B455" s="693"/>
      <c r="C455" s="693"/>
      <c r="D455" s="693"/>
      <c r="E455" s="693"/>
      <c r="F455" s="693"/>
      <c r="G455" s="693"/>
      <c r="H455" s="693"/>
      <c r="I455" s="693"/>
      <c r="J455" s="693"/>
      <c r="K455" s="693"/>
      <c r="L455" s="693"/>
      <c r="M455" s="693"/>
      <c r="N455" s="693"/>
      <c r="O455" s="693"/>
      <c r="P455" s="693"/>
      <c r="Q455" s="693"/>
    </row>
    <row r="456" spans="1:17" ht="13.5">
      <c r="A456" s="693"/>
      <c r="B456" s="693"/>
      <c r="C456" s="693"/>
      <c r="D456" s="693"/>
      <c r="E456" s="693"/>
      <c r="F456" s="693"/>
      <c r="G456" s="693"/>
      <c r="H456" s="693"/>
      <c r="I456" s="693"/>
      <c r="J456" s="693"/>
      <c r="K456" s="693"/>
      <c r="L456" s="693"/>
      <c r="M456" s="693"/>
      <c r="N456" s="693"/>
      <c r="O456" s="693"/>
      <c r="P456" s="693"/>
      <c r="Q456" s="693"/>
    </row>
    <row r="457" spans="1:17" ht="13.5">
      <c r="A457" s="693"/>
      <c r="B457" s="693"/>
      <c r="C457" s="693"/>
      <c r="D457" s="693"/>
      <c r="E457" s="693"/>
      <c r="F457" s="693"/>
      <c r="G457" s="693"/>
      <c r="H457" s="693"/>
      <c r="I457" s="693"/>
      <c r="J457" s="693"/>
      <c r="K457" s="693"/>
      <c r="L457" s="693"/>
      <c r="M457" s="693"/>
      <c r="N457" s="693"/>
      <c r="O457" s="693"/>
      <c r="P457" s="693"/>
      <c r="Q457" s="693"/>
    </row>
    <row r="458" spans="1:17" ht="13.5">
      <c r="A458" s="693"/>
      <c r="B458" s="693"/>
      <c r="C458" s="693"/>
      <c r="D458" s="693"/>
      <c r="E458" s="693"/>
      <c r="F458" s="693"/>
      <c r="G458" s="693"/>
      <c r="H458" s="693"/>
      <c r="I458" s="693"/>
      <c r="J458" s="693"/>
      <c r="K458" s="693"/>
      <c r="L458" s="693"/>
      <c r="M458" s="693"/>
      <c r="N458" s="693"/>
      <c r="O458" s="693"/>
      <c r="P458" s="693"/>
      <c r="Q458" s="693"/>
    </row>
    <row r="459" spans="1:17" ht="13.5">
      <c r="A459" s="693"/>
      <c r="B459" s="693"/>
      <c r="C459" s="693"/>
      <c r="D459" s="693"/>
      <c r="E459" s="693"/>
      <c r="F459" s="693"/>
      <c r="G459" s="693"/>
      <c r="H459" s="693"/>
      <c r="I459" s="693"/>
      <c r="J459" s="693"/>
      <c r="K459" s="693"/>
      <c r="L459" s="693"/>
      <c r="M459" s="693"/>
      <c r="N459" s="693"/>
      <c r="O459" s="693"/>
      <c r="P459" s="693"/>
      <c r="Q459" s="693"/>
    </row>
    <row r="460" spans="1:17" ht="13.5">
      <c r="A460" s="693"/>
      <c r="B460" s="693"/>
      <c r="C460" s="693"/>
      <c r="D460" s="693"/>
      <c r="E460" s="693"/>
      <c r="F460" s="693"/>
      <c r="G460" s="693"/>
      <c r="H460" s="693"/>
      <c r="I460" s="693"/>
      <c r="J460" s="693"/>
      <c r="K460" s="693"/>
      <c r="L460" s="693"/>
      <c r="M460" s="693"/>
      <c r="N460" s="693"/>
      <c r="O460" s="693"/>
      <c r="P460" s="693"/>
      <c r="Q460" s="693"/>
    </row>
    <row r="461" spans="1:17" ht="13.5">
      <c r="A461" s="693"/>
      <c r="B461" s="693"/>
      <c r="C461" s="693"/>
      <c r="D461" s="693"/>
      <c r="E461" s="693"/>
      <c r="F461" s="693"/>
      <c r="G461" s="693"/>
      <c r="H461" s="693"/>
      <c r="I461" s="693"/>
      <c r="J461" s="693"/>
      <c r="K461" s="693"/>
      <c r="L461" s="693"/>
      <c r="M461" s="693"/>
      <c r="N461" s="693"/>
      <c r="O461" s="693"/>
      <c r="P461" s="693"/>
      <c r="Q461" s="693"/>
    </row>
    <row r="462" spans="1:17" ht="13.5">
      <c r="A462" s="693"/>
      <c r="B462" s="693"/>
      <c r="C462" s="693"/>
      <c r="D462" s="693"/>
      <c r="E462" s="693"/>
      <c r="F462" s="693"/>
      <c r="G462" s="693"/>
      <c r="H462" s="693"/>
      <c r="I462" s="693"/>
      <c r="J462" s="693"/>
      <c r="K462" s="693"/>
      <c r="L462" s="693"/>
      <c r="M462" s="693"/>
      <c r="N462" s="693"/>
      <c r="O462" s="693"/>
      <c r="P462" s="693"/>
      <c r="Q462" s="693"/>
    </row>
    <row r="463" spans="1:17" ht="13.5">
      <c r="A463" s="693"/>
      <c r="B463" s="693"/>
      <c r="C463" s="693"/>
      <c r="D463" s="693"/>
      <c r="E463" s="693"/>
      <c r="F463" s="693"/>
      <c r="G463" s="693"/>
      <c r="H463" s="693"/>
      <c r="I463" s="693"/>
      <c r="J463" s="693"/>
      <c r="K463" s="693"/>
      <c r="L463" s="693"/>
      <c r="M463" s="693"/>
      <c r="N463" s="693"/>
      <c r="O463" s="693"/>
      <c r="P463" s="693"/>
      <c r="Q463" s="693"/>
    </row>
    <row r="464" spans="1:17" ht="13.5">
      <c r="A464" s="693"/>
      <c r="B464" s="693"/>
      <c r="C464" s="693"/>
      <c r="D464" s="693"/>
      <c r="E464" s="693"/>
      <c r="F464" s="693"/>
      <c r="G464" s="693"/>
      <c r="H464" s="693"/>
      <c r="I464" s="693"/>
      <c r="J464" s="693"/>
      <c r="K464" s="693"/>
      <c r="L464" s="693"/>
      <c r="M464" s="693"/>
      <c r="N464" s="693"/>
      <c r="O464" s="693"/>
      <c r="P464" s="693"/>
      <c r="Q464" s="693"/>
    </row>
    <row r="465" spans="1:17" ht="13.5">
      <c r="A465" s="693"/>
      <c r="B465" s="693"/>
      <c r="C465" s="693"/>
      <c r="D465" s="693"/>
      <c r="E465" s="693"/>
      <c r="F465" s="693"/>
      <c r="G465" s="693"/>
      <c r="H465" s="693"/>
      <c r="I465" s="693"/>
      <c r="J465" s="693"/>
      <c r="K465" s="693"/>
      <c r="L465" s="693"/>
      <c r="M465" s="693"/>
      <c r="N465" s="693"/>
      <c r="O465" s="693"/>
      <c r="P465" s="693"/>
      <c r="Q465" s="693"/>
    </row>
    <row r="466" spans="1:17" ht="13.5">
      <c r="A466" s="693"/>
      <c r="B466" s="693"/>
      <c r="C466" s="693"/>
      <c r="D466" s="693"/>
      <c r="E466" s="693"/>
      <c r="F466" s="693"/>
      <c r="G466" s="693"/>
      <c r="H466" s="693"/>
      <c r="I466" s="693"/>
      <c r="J466" s="693"/>
      <c r="K466" s="693"/>
      <c r="L466" s="693"/>
      <c r="M466" s="693"/>
      <c r="N466" s="693"/>
      <c r="O466" s="693"/>
      <c r="P466" s="693"/>
      <c r="Q466" s="693"/>
    </row>
    <row r="467" spans="1:17" ht="13.5">
      <c r="A467" s="693"/>
      <c r="B467" s="693"/>
      <c r="C467" s="693"/>
      <c r="D467" s="693"/>
      <c r="E467" s="693"/>
      <c r="F467" s="693"/>
      <c r="G467" s="693"/>
      <c r="H467" s="693"/>
      <c r="I467" s="693"/>
      <c r="J467" s="693"/>
      <c r="K467" s="693"/>
      <c r="L467" s="693"/>
      <c r="M467" s="693"/>
      <c r="N467" s="693"/>
      <c r="O467" s="693"/>
      <c r="P467" s="693"/>
      <c r="Q467" s="693"/>
    </row>
    <row r="468" spans="1:17" ht="13.5">
      <c r="A468" s="693"/>
      <c r="B468" s="693"/>
      <c r="C468" s="693"/>
      <c r="D468" s="693"/>
      <c r="E468" s="693"/>
      <c r="F468" s="693"/>
      <c r="G468" s="693"/>
      <c r="H468" s="693"/>
      <c r="I468" s="693"/>
      <c r="J468" s="693"/>
      <c r="K468" s="693"/>
      <c r="L468" s="693"/>
      <c r="M468" s="693"/>
      <c r="N468" s="693"/>
      <c r="O468" s="693"/>
      <c r="P468" s="693"/>
      <c r="Q468" s="693"/>
    </row>
    <row r="469" spans="1:17" ht="13.5">
      <c r="A469" s="693"/>
      <c r="B469" s="693"/>
      <c r="C469" s="693"/>
      <c r="D469" s="693"/>
      <c r="E469" s="693"/>
      <c r="F469" s="693"/>
      <c r="G469" s="693"/>
      <c r="H469" s="693"/>
      <c r="I469" s="693"/>
      <c r="J469" s="693"/>
      <c r="K469" s="693"/>
      <c r="L469" s="693"/>
      <c r="M469" s="693"/>
      <c r="N469" s="693"/>
      <c r="O469" s="693"/>
      <c r="P469" s="693"/>
      <c r="Q469" s="693"/>
    </row>
    <row r="470" spans="1:17" ht="13.5">
      <c r="A470" s="693"/>
      <c r="B470" s="693"/>
      <c r="C470" s="693"/>
      <c r="D470" s="693"/>
      <c r="E470" s="693"/>
      <c r="F470" s="693"/>
      <c r="G470" s="693"/>
      <c r="H470" s="693"/>
      <c r="I470" s="693"/>
      <c r="J470" s="693"/>
      <c r="K470" s="693"/>
      <c r="L470" s="693"/>
      <c r="M470" s="693"/>
      <c r="N470" s="693"/>
      <c r="O470" s="693"/>
      <c r="P470" s="693"/>
      <c r="Q470" s="693"/>
    </row>
    <row r="471" spans="1:17" ht="13.5">
      <c r="A471" s="693"/>
      <c r="B471" s="693"/>
      <c r="C471" s="693"/>
      <c r="D471" s="693"/>
      <c r="E471" s="693"/>
      <c r="F471" s="693"/>
      <c r="G471" s="693"/>
      <c r="H471" s="693"/>
      <c r="I471" s="693"/>
      <c r="J471" s="693"/>
      <c r="K471" s="693"/>
      <c r="L471" s="693"/>
      <c r="M471" s="693"/>
      <c r="N471" s="693"/>
      <c r="O471" s="693"/>
      <c r="P471" s="693"/>
      <c r="Q471" s="693"/>
    </row>
    <row r="472" spans="1:17" ht="13.5">
      <c r="A472" s="693"/>
      <c r="B472" s="693"/>
      <c r="C472" s="693"/>
      <c r="D472" s="693"/>
      <c r="E472" s="693"/>
      <c r="F472" s="693"/>
      <c r="G472" s="693"/>
      <c r="H472" s="693"/>
      <c r="I472" s="693"/>
      <c r="J472" s="693"/>
      <c r="K472" s="693"/>
      <c r="L472" s="693"/>
      <c r="M472" s="693"/>
      <c r="N472" s="693"/>
      <c r="O472" s="693"/>
      <c r="P472" s="693"/>
      <c r="Q472" s="693"/>
    </row>
    <row r="473" spans="1:17" ht="13.5">
      <c r="A473" s="693"/>
      <c r="B473" s="693"/>
      <c r="C473" s="693"/>
      <c r="D473" s="693"/>
      <c r="E473" s="693"/>
      <c r="F473" s="693"/>
      <c r="G473" s="693"/>
      <c r="H473" s="693"/>
      <c r="I473" s="693"/>
      <c r="J473" s="693"/>
      <c r="K473" s="693"/>
      <c r="L473" s="693"/>
      <c r="M473" s="693"/>
      <c r="N473" s="693"/>
      <c r="O473" s="693"/>
      <c r="P473" s="693"/>
      <c r="Q473" s="693"/>
    </row>
    <row r="474" spans="1:17" ht="13.5">
      <c r="A474" s="693"/>
      <c r="B474" s="693"/>
      <c r="C474" s="693"/>
      <c r="D474" s="693"/>
      <c r="E474" s="693"/>
      <c r="F474" s="693"/>
      <c r="G474" s="693"/>
      <c r="H474" s="693"/>
      <c r="I474" s="693"/>
      <c r="J474" s="693"/>
      <c r="K474" s="693"/>
      <c r="L474" s="693"/>
      <c r="M474" s="693"/>
      <c r="N474" s="693"/>
      <c r="O474" s="693"/>
      <c r="P474" s="693"/>
      <c r="Q474" s="693"/>
    </row>
    <row r="475" spans="1:17" ht="13.5">
      <c r="A475" s="693"/>
      <c r="B475" s="693"/>
      <c r="C475" s="693"/>
      <c r="D475" s="693"/>
      <c r="E475" s="693"/>
      <c r="F475" s="693"/>
      <c r="G475" s="693"/>
      <c r="H475" s="693"/>
      <c r="I475" s="693"/>
      <c r="J475" s="693"/>
      <c r="K475" s="693"/>
      <c r="L475" s="693"/>
      <c r="M475" s="693"/>
      <c r="N475" s="693"/>
      <c r="O475" s="693"/>
      <c r="P475" s="693"/>
      <c r="Q475" s="693"/>
    </row>
    <row r="476" spans="1:17" ht="13.5">
      <c r="A476" s="693"/>
      <c r="B476" s="693"/>
      <c r="C476" s="693"/>
      <c r="D476" s="693"/>
      <c r="E476" s="693"/>
      <c r="F476" s="693"/>
      <c r="G476" s="693"/>
      <c r="H476" s="693"/>
      <c r="I476" s="693"/>
      <c r="J476" s="693"/>
      <c r="K476" s="693"/>
      <c r="L476" s="693"/>
      <c r="M476" s="693"/>
      <c r="N476" s="693"/>
      <c r="O476" s="693"/>
      <c r="P476" s="693"/>
      <c r="Q476" s="693"/>
    </row>
    <row r="477" spans="1:17" ht="13.5">
      <c r="A477" s="693"/>
      <c r="B477" s="693"/>
      <c r="C477" s="693"/>
      <c r="D477" s="693"/>
      <c r="E477" s="693"/>
      <c r="F477" s="693"/>
      <c r="G477" s="693"/>
      <c r="H477" s="693"/>
      <c r="I477" s="693"/>
      <c r="J477" s="693"/>
      <c r="K477" s="693"/>
      <c r="L477" s="693"/>
      <c r="M477" s="693"/>
      <c r="N477" s="693"/>
      <c r="O477" s="693"/>
      <c r="P477" s="693"/>
      <c r="Q477" s="693"/>
    </row>
    <row r="478" spans="1:17" ht="13.5">
      <c r="A478" s="693"/>
      <c r="B478" s="693"/>
      <c r="C478" s="693"/>
      <c r="D478" s="693"/>
      <c r="E478" s="693"/>
      <c r="F478" s="693"/>
      <c r="G478" s="693"/>
      <c r="H478" s="693"/>
      <c r="I478" s="693"/>
      <c r="J478" s="693"/>
      <c r="K478" s="693"/>
      <c r="L478" s="693"/>
      <c r="M478" s="693"/>
      <c r="N478" s="693"/>
      <c r="O478" s="693"/>
      <c r="P478" s="693"/>
      <c r="Q478" s="693"/>
    </row>
    <row r="479" spans="1:17" ht="13.5">
      <c r="A479" s="693"/>
      <c r="B479" s="693"/>
      <c r="C479" s="693"/>
      <c r="D479" s="693"/>
      <c r="E479" s="693"/>
      <c r="F479" s="693"/>
      <c r="G479" s="693"/>
      <c r="H479" s="693"/>
      <c r="I479" s="693"/>
      <c r="J479" s="693"/>
      <c r="K479" s="693"/>
      <c r="L479" s="693"/>
      <c r="M479" s="693"/>
      <c r="N479" s="693"/>
      <c r="O479" s="693"/>
      <c r="P479" s="693"/>
      <c r="Q479" s="693"/>
    </row>
    <row r="480" spans="1:17" ht="13.5">
      <c r="A480" s="693"/>
      <c r="B480" s="693"/>
      <c r="C480" s="693"/>
      <c r="D480" s="693"/>
      <c r="E480" s="693"/>
      <c r="F480" s="693"/>
      <c r="G480" s="693"/>
      <c r="H480" s="693"/>
      <c r="I480" s="693"/>
      <c r="J480" s="693"/>
      <c r="K480" s="693"/>
      <c r="L480" s="693"/>
      <c r="M480" s="693"/>
      <c r="N480" s="693"/>
      <c r="O480" s="693"/>
      <c r="P480" s="693"/>
      <c r="Q480" s="693"/>
    </row>
    <row r="481" spans="1:17" ht="13.5">
      <c r="A481" s="693"/>
      <c r="B481" s="693"/>
      <c r="C481" s="693"/>
      <c r="D481" s="693"/>
      <c r="E481" s="693"/>
      <c r="F481" s="693"/>
      <c r="G481" s="693"/>
      <c r="H481" s="693"/>
      <c r="I481" s="693"/>
      <c r="J481" s="693"/>
      <c r="K481" s="693"/>
      <c r="L481" s="693"/>
      <c r="M481" s="693"/>
      <c r="N481" s="693"/>
      <c r="O481" s="693"/>
      <c r="P481" s="693"/>
      <c r="Q481" s="693"/>
    </row>
    <row r="482" spans="1:17" ht="13.5">
      <c r="A482" s="693"/>
      <c r="B482" s="693"/>
      <c r="C482" s="693"/>
      <c r="D482" s="693"/>
      <c r="E482" s="693"/>
      <c r="F482" s="693"/>
      <c r="G482" s="693"/>
      <c r="H482" s="693"/>
      <c r="I482" s="693"/>
      <c r="J482" s="693"/>
      <c r="K482" s="693"/>
      <c r="L482" s="693"/>
      <c r="M482" s="693"/>
      <c r="N482" s="693"/>
      <c r="O482" s="693"/>
      <c r="P482" s="693"/>
      <c r="Q482" s="693"/>
    </row>
    <row r="483" spans="1:17" ht="13.5">
      <c r="A483" s="693"/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3"/>
      <c r="N483" s="693"/>
      <c r="O483" s="693"/>
      <c r="P483" s="693"/>
      <c r="Q483" s="693"/>
    </row>
    <row r="484" spans="1:17" ht="13.5">
      <c r="A484" s="693"/>
      <c r="B484" s="693"/>
      <c r="C484" s="693"/>
      <c r="D484" s="693"/>
      <c r="E484" s="693"/>
      <c r="F484" s="693"/>
      <c r="G484" s="693"/>
      <c r="H484" s="693"/>
      <c r="I484" s="693"/>
      <c r="J484" s="693"/>
      <c r="K484" s="693"/>
      <c r="L484" s="693"/>
      <c r="M484" s="693"/>
      <c r="N484" s="693"/>
      <c r="O484" s="693"/>
      <c r="P484" s="693"/>
      <c r="Q484" s="693"/>
    </row>
    <row r="485" spans="1:17" ht="13.5">
      <c r="A485" s="693"/>
      <c r="B485" s="693"/>
      <c r="C485" s="693"/>
      <c r="D485" s="693"/>
      <c r="E485" s="693"/>
      <c r="F485" s="693"/>
      <c r="G485" s="693"/>
      <c r="H485" s="693"/>
      <c r="I485" s="693"/>
      <c r="J485" s="693"/>
      <c r="K485" s="693"/>
      <c r="L485" s="693"/>
      <c r="M485" s="693"/>
      <c r="N485" s="693"/>
      <c r="O485" s="693"/>
      <c r="P485" s="693"/>
      <c r="Q485" s="693"/>
    </row>
    <row r="486" spans="1:17" ht="13.5">
      <c r="A486" s="693"/>
      <c r="B486" s="693"/>
      <c r="C486" s="693"/>
      <c r="D486" s="693"/>
      <c r="E486" s="693"/>
      <c r="F486" s="693"/>
      <c r="G486" s="693"/>
      <c r="H486" s="693"/>
      <c r="I486" s="693"/>
      <c r="J486" s="693"/>
      <c r="K486" s="693"/>
      <c r="L486" s="693"/>
      <c r="M486" s="693"/>
      <c r="N486" s="693"/>
      <c r="O486" s="693"/>
      <c r="P486" s="693"/>
      <c r="Q486" s="693"/>
    </row>
    <row r="487" spans="1:17" ht="13.5">
      <c r="A487" s="693"/>
      <c r="B487" s="693"/>
      <c r="C487" s="693"/>
      <c r="D487" s="693"/>
      <c r="E487" s="693"/>
      <c r="F487" s="693"/>
      <c r="G487" s="693"/>
      <c r="H487" s="693"/>
      <c r="I487" s="693"/>
      <c r="J487" s="693"/>
      <c r="K487" s="693"/>
      <c r="L487" s="693"/>
      <c r="M487" s="693"/>
      <c r="N487" s="693"/>
      <c r="O487" s="693"/>
      <c r="P487" s="693"/>
      <c r="Q487" s="693"/>
    </row>
    <row r="488" spans="1:17" ht="13.5">
      <c r="A488" s="693"/>
      <c r="B488" s="693"/>
      <c r="C488" s="693"/>
      <c r="D488" s="693"/>
      <c r="E488" s="693"/>
      <c r="F488" s="693"/>
      <c r="G488" s="693"/>
      <c r="H488" s="693"/>
      <c r="I488" s="693"/>
      <c r="J488" s="693"/>
      <c r="K488" s="693"/>
      <c r="L488" s="693"/>
      <c r="M488" s="693"/>
      <c r="N488" s="693"/>
      <c r="O488" s="693"/>
      <c r="P488" s="693"/>
      <c r="Q488" s="693"/>
    </row>
    <row r="489" spans="1:17" ht="13.5">
      <c r="A489" s="693"/>
      <c r="B489" s="693"/>
      <c r="C489" s="693"/>
      <c r="D489" s="693"/>
      <c r="E489" s="693"/>
      <c r="F489" s="693"/>
      <c r="G489" s="693"/>
      <c r="H489" s="693"/>
      <c r="I489" s="693"/>
      <c r="J489" s="693"/>
      <c r="K489" s="693"/>
      <c r="L489" s="693"/>
      <c r="M489" s="693"/>
      <c r="N489" s="693"/>
      <c r="O489" s="693"/>
      <c r="P489" s="693"/>
      <c r="Q489" s="693"/>
    </row>
    <row r="490" spans="1:17" ht="13.5">
      <c r="A490" s="693"/>
      <c r="B490" s="693"/>
      <c r="C490" s="693"/>
      <c r="D490" s="693"/>
      <c r="E490" s="693"/>
      <c r="F490" s="693"/>
      <c r="G490" s="693"/>
      <c r="H490" s="693"/>
      <c r="I490" s="693"/>
      <c r="J490" s="693"/>
      <c r="K490" s="693"/>
      <c r="L490" s="693"/>
      <c r="M490" s="693"/>
      <c r="N490" s="693"/>
      <c r="O490" s="693"/>
      <c r="P490" s="693"/>
      <c r="Q490" s="693"/>
    </row>
    <row r="491" spans="1:17" ht="13.5">
      <c r="A491" s="693"/>
      <c r="B491" s="693"/>
      <c r="C491" s="693"/>
      <c r="D491" s="693"/>
      <c r="E491" s="693"/>
      <c r="F491" s="693"/>
      <c r="G491" s="693"/>
      <c r="H491" s="693"/>
      <c r="I491" s="693"/>
      <c r="J491" s="693"/>
      <c r="K491" s="693"/>
      <c r="L491" s="693"/>
      <c r="M491" s="693"/>
      <c r="N491" s="693"/>
      <c r="O491" s="693"/>
      <c r="P491" s="693"/>
      <c r="Q491" s="693"/>
    </row>
    <row r="492" spans="1:17" ht="13.5">
      <c r="A492" s="693"/>
      <c r="B492" s="693"/>
      <c r="C492" s="693"/>
      <c r="D492" s="693"/>
      <c r="E492" s="693"/>
      <c r="F492" s="693"/>
      <c r="G492" s="693"/>
      <c r="H492" s="693"/>
      <c r="I492" s="693"/>
      <c r="J492" s="693"/>
      <c r="K492" s="693"/>
      <c r="L492" s="693"/>
      <c r="M492" s="693"/>
      <c r="N492" s="693"/>
      <c r="O492" s="693"/>
      <c r="P492" s="693"/>
      <c r="Q492" s="693"/>
    </row>
    <row r="493" spans="1:17" ht="13.5">
      <c r="A493" s="693"/>
      <c r="B493" s="693"/>
      <c r="C493" s="693"/>
      <c r="D493" s="693"/>
      <c r="E493" s="693"/>
      <c r="F493" s="693"/>
      <c r="G493" s="693"/>
      <c r="H493" s="693"/>
      <c r="I493" s="693"/>
      <c r="J493" s="693"/>
      <c r="K493" s="693"/>
      <c r="L493" s="693"/>
      <c r="M493" s="693"/>
      <c r="N493" s="693"/>
      <c r="O493" s="693"/>
      <c r="P493" s="693"/>
      <c r="Q493" s="693"/>
    </row>
    <row r="494" spans="1:17" ht="13.5">
      <c r="A494" s="693"/>
      <c r="B494" s="693"/>
      <c r="C494" s="693"/>
      <c r="D494" s="693"/>
      <c r="E494" s="693"/>
      <c r="F494" s="693"/>
      <c r="G494" s="693"/>
      <c r="H494" s="693"/>
      <c r="I494" s="693"/>
      <c r="J494" s="693"/>
      <c r="K494" s="693"/>
      <c r="L494" s="693"/>
      <c r="M494" s="693"/>
      <c r="N494" s="693"/>
      <c r="O494" s="693"/>
      <c r="P494" s="693"/>
      <c r="Q494" s="693"/>
    </row>
    <row r="495" spans="1:17" ht="13.5">
      <c r="A495" s="693"/>
      <c r="B495" s="693"/>
      <c r="C495" s="693"/>
      <c r="D495" s="693"/>
      <c r="E495" s="693"/>
      <c r="F495" s="693"/>
      <c r="G495" s="693"/>
      <c r="H495" s="693"/>
      <c r="I495" s="693"/>
      <c r="J495" s="693"/>
      <c r="K495" s="693"/>
      <c r="L495" s="693"/>
      <c r="M495" s="693"/>
      <c r="N495" s="693"/>
      <c r="O495" s="693"/>
      <c r="P495" s="693"/>
      <c r="Q495" s="693"/>
    </row>
    <row r="496" spans="1:17" ht="13.5">
      <c r="A496" s="693"/>
      <c r="B496" s="693"/>
      <c r="C496" s="693"/>
      <c r="D496" s="693"/>
      <c r="E496" s="693"/>
      <c r="F496" s="693"/>
      <c r="G496" s="693"/>
      <c r="H496" s="693"/>
      <c r="I496" s="693"/>
      <c r="J496" s="693"/>
      <c r="K496" s="693"/>
      <c r="L496" s="693"/>
      <c r="M496" s="693"/>
      <c r="N496" s="693"/>
      <c r="O496" s="693"/>
      <c r="P496" s="693"/>
      <c r="Q496" s="693"/>
    </row>
    <row r="497" spans="1:17" ht="13.5">
      <c r="A497" s="693"/>
      <c r="B497" s="693"/>
      <c r="C497" s="693"/>
      <c r="D497" s="693"/>
      <c r="E497" s="693"/>
      <c r="F497" s="693"/>
      <c r="G497" s="693"/>
      <c r="H497" s="693"/>
      <c r="I497" s="693"/>
      <c r="J497" s="693"/>
      <c r="K497" s="693"/>
      <c r="L497" s="693"/>
      <c r="M497" s="693"/>
      <c r="N497" s="693"/>
      <c r="O497" s="693"/>
      <c r="P497" s="693"/>
      <c r="Q497" s="693"/>
    </row>
    <row r="498" spans="1:17" ht="13.5">
      <c r="A498" s="693"/>
      <c r="B498" s="693"/>
      <c r="C498" s="693"/>
      <c r="D498" s="693"/>
      <c r="E498" s="693"/>
      <c r="F498" s="693"/>
      <c r="G498" s="693"/>
      <c r="H498" s="693"/>
      <c r="I498" s="693"/>
      <c r="J498" s="693"/>
      <c r="K498" s="693"/>
      <c r="L498" s="693"/>
      <c r="M498" s="693"/>
      <c r="N498" s="693"/>
      <c r="O498" s="693"/>
      <c r="P498" s="693"/>
      <c r="Q498" s="693"/>
    </row>
    <row r="499" spans="1:17" ht="13.5">
      <c r="A499" s="693"/>
      <c r="B499" s="693"/>
      <c r="C499" s="693"/>
      <c r="D499" s="693"/>
      <c r="E499" s="693"/>
      <c r="F499" s="693"/>
      <c r="G499" s="693"/>
      <c r="H499" s="693"/>
      <c r="I499" s="693"/>
      <c r="J499" s="693"/>
      <c r="K499" s="693"/>
      <c r="L499" s="693"/>
      <c r="M499" s="693"/>
      <c r="N499" s="693"/>
      <c r="O499" s="693"/>
      <c r="P499" s="693"/>
      <c r="Q499" s="693"/>
    </row>
    <row r="500" spans="1:17" ht="13.5">
      <c r="A500" s="693"/>
      <c r="B500" s="693"/>
      <c r="C500" s="693"/>
      <c r="D500" s="693"/>
      <c r="E500" s="693"/>
      <c r="F500" s="693"/>
      <c r="G500" s="693"/>
      <c r="H500" s="693"/>
      <c r="I500" s="693"/>
      <c r="J500" s="693"/>
      <c r="K500" s="693"/>
      <c r="L500" s="693"/>
      <c r="M500" s="693"/>
      <c r="N500" s="693"/>
      <c r="O500" s="693"/>
      <c r="P500" s="693"/>
      <c r="Q500" s="693"/>
    </row>
    <row r="501" spans="1:17" ht="13.5">
      <c r="A501" s="693"/>
      <c r="B501" s="693"/>
      <c r="C501" s="693"/>
      <c r="D501" s="693"/>
      <c r="E501" s="693"/>
      <c r="F501" s="693"/>
      <c r="G501" s="693"/>
      <c r="H501" s="693"/>
      <c r="I501" s="693"/>
      <c r="J501" s="693"/>
      <c r="K501" s="693"/>
      <c r="L501" s="693"/>
      <c r="M501" s="693"/>
      <c r="N501" s="693"/>
      <c r="O501" s="693"/>
      <c r="P501" s="693"/>
      <c r="Q501" s="693"/>
    </row>
    <row r="502" spans="1:17" ht="13.5">
      <c r="A502" s="693"/>
      <c r="B502" s="693"/>
      <c r="C502" s="693"/>
      <c r="D502" s="693"/>
      <c r="E502" s="693"/>
      <c r="F502" s="693"/>
      <c r="G502" s="693"/>
      <c r="H502" s="693"/>
      <c r="I502" s="693"/>
      <c r="J502" s="693"/>
      <c r="K502" s="693"/>
      <c r="L502" s="693"/>
      <c r="M502" s="693"/>
      <c r="N502" s="693"/>
      <c r="O502" s="693"/>
      <c r="P502" s="693"/>
      <c r="Q502" s="693"/>
    </row>
    <row r="503" spans="1:17" ht="13.5">
      <c r="A503" s="693"/>
      <c r="B503" s="693"/>
      <c r="C503" s="693"/>
      <c r="D503" s="693"/>
      <c r="E503" s="693"/>
      <c r="F503" s="693"/>
      <c r="G503" s="693"/>
      <c r="H503" s="693"/>
      <c r="I503" s="693"/>
      <c r="J503" s="693"/>
      <c r="K503" s="693"/>
      <c r="L503" s="693"/>
      <c r="M503" s="693"/>
      <c r="N503" s="693"/>
      <c r="O503" s="693"/>
      <c r="P503" s="693"/>
      <c r="Q503" s="693"/>
    </row>
    <row r="504" spans="1:17" ht="13.5">
      <c r="A504" s="693"/>
      <c r="B504" s="693"/>
      <c r="C504" s="693"/>
      <c r="D504" s="693"/>
      <c r="E504" s="693"/>
      <c r="F504" s="693"/>
      <c r="G504" s="693"/>
      <c r="H504" s="693"/>
      <c r="I504" s="693"/>
      <c r="J504" s="693"/>
      <c r="K504" s="693"/>
      <c r="L504" s="693"/>
      <c r="M504" s="693"/>
      <c r="N504" s="693"/>
      <c r="O504" s="693"/>
      <c r="P504" s="693"/>
      <c r="Q504" s="693"/>
    </row>
    <row r="505" spans="1:17" ht="13.5">
      <c r="A505" s="693"/>
      <c r="B505" s="693"/>
      <c r="C505" s="693"/>
      <c r="D505" s="693"/>
      <c r="E505" s="693"/>
      <c r="F505" s="693"/>
      <c r="G505" s="693"/>
      <c r="H505" s="693"/>
      <c r="I505" s="693"/>
      <c r="J505" s="693"/>
      <c r="K505" s="693"/>
      <c r="L505" s="693"/>
      <c r="M505" s="693"/>
      <c r="N505" s="693"/>
      <c r="O505" s="693"/>
      <c r="P505" s="693"/>
      <c r="Q505" s="693"/>
    </row>
    <row r="506" spans="1:17" ht="13.5">
      <c r="A506" s="693"/>
      <c r="B506" s="693"/>
      <c r="C506" s="693"/>
      <c r="D506" s="693"/>
      <c r="E506" s="693"/>
      <c r="F506" s="693"/>
      <c r="G506" s="693"/>
      <c r="H506" s="693"/>
      <c r="I506" s="693"/>
      <c r="J506" s="693"/>
      <c r="K506" s="693"/>
      <c r="L506" s="693"/>
      <c r="M506" s="693"/>
      <c r="N506" s="693"/>
      <c r="O506" s="693"/>
      <c r="P506" s="693"/>
      <c r="Q506" s="693"/>
    </row>
    <row r="507" spans="1:17" ht="13.5">
      <c r="A507" s="693"/>
      <c r="B507" s="693"/>
      <c r="C507" s="693"/>
      <c r="D507" s="693"/>
      <c r="E507" s="693"/>
      <c r="F507" s="693"/>
      <c r="G507" s="693"/>
      <c r="H507" s="693"/>
      <c r="I507" s="693"/>
      <c r="J507" s="693"/>
      <c r="K507" s="693"/>
      <c r="L507" s="693"/>
      <c r="M507" s="693"/>
      <c r="N507" s="693"/>
      <c r="O507" s="693"/>
      <c r="P507" s="693"/>
      <c r="Q507" s="693"/>
    </row>
    <row r="508" spans="1:17" ht="13.5">
      <c r="A508" s="693"/>
      <c r="B508" s="693"/>
      <c r="C508" s="693"/>
      <c r="D508" s="693"/>
      <c r="E508" s="693"/>
      <c r="F508" s="693"/>
      <c r="G508" s="693"/>
      <c r="H508" s="693"/>
      <c r="I508" s="693"/>
      <c r="J508" s="693"/>
      <c r="K508" s="693"/>
      <c r="L508" s="693"/>
      <c r="M508" s="693"/>
      <c r="N508" s="693"/>
      <c r="O508" s="693"/>
      <c r="P508" s="693"/>
      <c r="Q508" s="693"/>
    </row>
    <row r="509" spans="1:17" ht="13.5">
      <c r="A509" s="693"/>
      <c r="B509" s="693"/>
      <c r="C509" s="693"/>
      <c r="D509" s="693"/>
      <c r="E509" s="693"/>
      <c r="F509" s="693"/>
      <c r="G509" s="693"/>
      <c r="H509" s="693"/>
      <c r="I509" s="693"/>
      <c r="J509" s="693"/>
      <c r="K509" s="693"/>
      <c r="L509" s="693"/>
      <c r="M509" s="693"/>
      <c r="N509" s="693"/>
      <c r="O509" s="693"/>
      <c r="P509" s="693"/>
      <c r="Q509" s="693"/>
    </row>
    <row r="510" spans="1:17" ht="13.5">
      <c r="A510" s="693"/>
      <c r="B510" s="693"/>
      <c r="C510" s="693"/>
      <c r="D510" s="693"/>
      <c r="E510" s="693"/>
      <c r="F510" s="693"/>
      <c r="G510" s="693"/>
      <c r="H510" s="693"/>
      <c r="I510" s="693"/>
      <c r="J510" s="693"/>
      <c r="K510" s="693"/>
      <c r="L510" s="693"/>
      <c r="M510" s="693"/>
      <c r="N510" s="693"/>
      <c r="O510" s="693"/>
      <c r="P510" s="693"/>
      <c r="Q510" s="693"/>
    </row>
    <row r="511" spans="1:17" ht="13.5">
      <c r="A511" s="693"/>
      <c r="B511" s="693"/>
      <c r="C511" s="693"/>
      <c r="D511" s="693"/>
      <c r="E511" s="693"/>
      <c r="F511" s="693"/>
      <c r="G511" s="693"/>
      <c r="H511" s="693"/>
      <c r="I511" s="693"/>
      <c r="J511" s="693"/>
      <c r="K511" s="693"/>
      <c r="L511" s="693"/>
      <c r="M511" s="693"/>
      <c r="N511" s="693"/>
      <c r="O511" s="693"/>
      <c r="P511" s="693"/>
      <c r="Q511" s="693"/>
    </row>
    <row r="512" spans="1:17" ht="13.5">
      <c r="A512" s="693"/>
      <c r="B512" s="693"/>
      <c r="C512" s="693"/>
      <c r="D512" s="693"/>
      <c r="E512" s="693"/>
      <c r="F512" s="693"/>
      <c r="G512" s="693"/>
      <c r="H512" s="693"/>
      <c r="I512" s="693"/>
      <c r="J512" s="693"/>
      <c r="K512" s="693"/>
      <c r="L512" s="693"/>
      <c r="M512" s="693"/>
      <c r="N512" s="693"/>
      <c r="O512" s="693"/>
      <c r="P512" s="693"/>
      <c r="Q512" s="693"/>
    </row>
    <row r="513" spans="1:17" ht="13.5">
      <c r="A513" s="693"/>
      <c r="B513" s="693"/>
      <c r="C513" s="693"/>
      <c r="D513" s="693"/>
      <c r="E513" s="693"/>
      <c r="F513" s="693"/>
      <c r="G513" s="693"/>
      <c r="H513" s="693"/>
      <c r="I513" s="693"/>
      <c r="J513" s="693"/>
      <c r="K513" s="693"/>
      <c r="L513" s="693"/>
      <c r="M513" s="693"/>
      <c r="N513" s="693"/>
      <c r="O513" s="693"/>
      <c r="P513" s="693"/>
      <c r="Q513" s="693"/>
    </row>
    <row r="514" spans="1:17" ht="13.5">
      <c r="A514" s="693"/>
      <c r="B514" s="693"/>
      <c r="C514" s="693"/>
      <c r="D514" s="693"/>
      <c r="E514" s="693"/>
      <c r="F514" s="693"/>
      <c r="G514" s="693"/>
      <c r="H514" s="693"/>
      <c r="I514" s="693"/>
      <c r="J514" s="693"/>
      <c r="K514" s="693"/>
      <c r="L514" s="693"/>
      <c r="M514" s="693"/>
      <c r="N514" s="693"/>
      <c r="O514" s="693"/>
      <c r="P514" s="693"/>
      <c r="Q514" s="693"/>
    </row>
    <row r="515" spans="1:17" ht="13.5">
      <c r="A515" s="693"/>
      <c r="B515" s="693"/>
      <c r="C515" s="693"/>
      <c r="D515" s="693"/>
      <c r="E515" s="693"/>
      <c r="F515" s="693"/>
      <c r="G515" s="693"/>
      <c r="H515" s="693"/>
      <c r="I515" s="693"/>
      <c r="J515" s="693"/>
      <c r="K515" s="693"/>
      <c r="L515" s="693"/>
      <c r="M515" s="693"/>
      <c r="N515" s="693"/>
      <c r="O515" s="693"/>
      <c r="P515" s="693"/>
      <c r="Q515" s="693"/>
    </row>
    <row r="516" spans="1:17" ht="13.5">
      <c r="A516" s="693"/>
      <c r="B516" s="693"/>
      <c r="C516" s="693"/>
      <c r="D516" s="693"/>
      <c r="E516" s="693"/>
      <c r="F516" s="693"/>
      <c r="G516" s="693"/>
      <c r="H516" s="693"/>
      <c r="I516" s="693"/>
      <c r="J516" s="693"/>
      <c r="K516" s="693"/>
      <c r="L516" s="693"/>
      <c r="M516" s="693"/>
      <c r="N516" s="693"/>
      <c r="O516" s="693"/>
      <c r="P516" s="693"/>
      <c r="Q516" s="693"/>
    </row>
    <row r="517" spans="1:17" ht="13.5">
      <c r="A517" s="693"/>
      <c r="B517" s="693"/>
      <c r="C517" s="693"/>
      <c r="D517" s="693"/>
      <c r="E517" s="693"/>
      <c r="F517" s="693"/>
      <c r="G517" s="693"/>
      <c r="H517" s="693"/>
      <c r="I517" s="693"/>
      <c r="J517" s="693"/>
      <c r="K517" s="693"/>
      <c r="L517" s="693"/>
      <c r="M517" s="693"/>
      <c r="N517" s="693"/>
      <c r="O517" s="693"/>
      <c r="P517" s="693"/>
      <c r="Q517" s="693"/>
    </row>
    <row r="518" spans="1:17" ht="13.5">
      <c r="A518" s="693"/>
      <c r="B518" s="693"/>
      <c r="C518" s="693"/>
      <c r="D518" s="693"/>
      <c r="E518" s="693"/>
      <c r="F518" s="693"/>
      <c r="G518" s="693"/>
      <c r="H518" s="693"/>
      <c r="I518" s="693"/>
      <c r="J518" s="693"/>
      <c r="K518" s="693"/>
      <c r="L518" s="693"/>
      <c r="M518" s="693"/>
      <c r="N518" s="693"/>
      <c r="O518" s="693"/>
      <c r="P518" s="693"/>
      <c r="Q518" s="693"/>
    </row>
    <row r="519" spans="1:17" ht="13.5">
      <c r="A519" s="693"/>
      <c r="B519" s="693"/>
      <c r="C519" s="693"/>
      <c r="D519" s="693"/>
      <c r="E519" s="693"/>
      <c r="F519" s="693"/>
      <c r="G519" s="693"/>
      <c r="H519" s="693"/>
      <c r="I519" s="693"/>
      <c r="J519" s="693"/>
      <c r="K519" s="693"/>
      <c r="L519" s="693"/>
      <c r="M519" s="693"/>
      <c r="N519" s="693"/>
      <c r="O519" s="693"/>
      <c r="P519" s="693"/>
      <c r="Q519" s="693"/>
    </row>
    <row r="520" spans="1:17" ht="13.5">
      <c r="A520" s="693"/>
      <c r="B520" s="693"/>
      <c r="C520" s="693"/>
      <c r="D520" s="693"/>
      <c r="E520" s="693"/>
      <c r="F520" s="693"/>
      <c r="G520" s="693"/>
      <c r="H520" s="693"/>
      <c r="I520" s="693"/>
      <c r="J520" s="693"/>
      <c r="K520" s="693"/>
      <c r="L520" s="693"/>
      <c r="M520" s="693"/>
      <c r="N520" s="693"/>
      <c r="O520" s="693"/>
      <c r="P520" s="693"/>
      <c r="Q520" s="693"/>
    </row>
    <row r="521" spans="1:17" ht="13.5">
      <c r="A521" s="693"/>
      <c r="B521" s="693"/>
      <c r="C521" s="693"/>
      <c r="D521" s="693"/>
      <c r="E521" s="693"/>
      <c r="F521" s="693"/>
      <c r="G521" s="693"/>
      <c r="H521" s="693"/>
      <c r="I521" s="693"/>
      <c r="J521" s="693"/>
      <c r="K521" s="693"/>
      <c r="L521" s="693"/>
      <c r="M521" s="693"/>
      <c r="N521" s="693"/>
      <c r="O521" s="693"/>
      <c r="P521" s="693"/>
      <c r="Q521" s="693"/>
    </row>
    <row r="522" spans="1:17" ht="13.5">
      <c r="A522" s="693"/>
      <c r="B522" s="693"/>
      <c r="C522" s="693"/>
      <c r="D522" s="693"/>
      <c r="E522" s="693"/>
      <c r="F522" s="693"/>
      <c r="G522" s="693"/>
      <c r="H522" s="693"/>
      <c r="I522" s="693"/>
      <c r="J522" s="693"/>
      <c r="K522" s="693"/>
      <c r="L522" s="693"/>
      <c r="M522" s="693"/>
      <c r="N522" s="693"/>
      <c r="O522" s="693"/>
      <c r="P522" s="693"/>
      <c r="Q522" s="693"/>
    </row>
    <row r="523" spans="1:17" ht="13.5">
      <c r="A523" s="693"/>
      <c r="B523" s="693"/>
      <c r="C523" s="693"/>
      <c r="D523" s="693"/>
      <c r="E523" s="693"/>
      <c r="F523" s="693"/>
      <c r="G523" s="693"/>
      <c r="H523" s="693"/>
      <c r="I523" s="693"/>
      <c r="J523" s="693"/>
      <c r="K523" s="693"/>
      <c r="L523" s="693"/>
      <c r="M523" s="693"/>
      <c r="N523" s="693"/>
      <c r="O523" s="693"/>
      <c r="P523" s="693"/>
      <c r="Q523" s="693"/>
    </row>
    <row r="524" spans="1:17" ht="13.5">
      <c r="A524" s="693"/>
      <c r="B524" s="693"/>
      <c r="C524" s="693"/>
      <c r="D524" s="693"/>
      <c r="E524" s="693"/>
      <c r="F524" s="693"/>
      <c r="G524" s="693"/>
      <c r="H524" s="693"/>
      <c r="I524" s="693"/>
      <c r="J524" s="693"/>
      <c r="K524" s="693"/>
      <c r="L524" s="693"/>
      <c r="M524" s="693"/>
      <c r="N524" s="693"/>
      <c r="O524" s="693"/>
      <c r="P524" s="693"/>
      <c r="Q524" s="693"/>
    </row>
    <row r="525" spans="1:17" ht="13.5">
      <c r="A525" s="693"/>
      <c r="B525" s="693"/>
      <c r="C525" s="693"/>
      <c r="D525" s="693"/>
      <c r="E525" s="693"/>
      <c r="F525" s="693"/>
      <c r="G525" s="693"/>
      <c r="H525" s="693"/>
      <c r="I525" s="693"/>
      <c r="J525" s="693"/>
      <c r="K525" s="693"/>
      <c r="L525" s="693"/>
      <c r="M525" s="693"/>
      <c r="N525" s="693"/>
      <c r="O525" s="693"/>
      <c r="P525" s="693"/>
      <c r="Q525" s="693"/>
    </row>
    <row r="526" spans="1:17" ht="13.5">
      <c r="A526" s="693"/>
      <c r="B526" s="693"/>
      <c r="C526" s="693"/>
      <c r="D526" s="693"/>
      <c r="E526" s="693"/>
      <c r="F526" s="693"/>
      <c r="G526" s="693"/>
      <c r="H526" s="693"/>
      <c r="I526" s="693"/>
      <c r="J526" s="693"/>
      <c r="K526" s="693"/>
      <c r="L526" s="693"/>
      <c r="M526" s="693"/>
      <c r="N526" s="693"/>
      <c r="O526" s="693"/>
      <c r="P526" s="693"/>
      <c r="Q526" s="693"/>
    </row>
    <row r="527" spans="1:17" ht="13.5">
      <c r="A527" s="693"/>
      <c r="B527" s="693"/>
      <c r="C527" s="693"/>
      <c r="D527" s="693"/>
      <c r="E527" s="693"/>
      <c r="F527" s="693"/>
      <c r="G527" s="693"/>
      <c r="H527" s="693"/>
      <c r="I527" s="693"/>
      <c r="J527" s="693"/>
      <c r="K527" s="693"/>
      <c r="L527" s="693"/>
      <c r="M527" s="693"/>
      <c r="N527" s="693"/>
      <c r="O527" s="693"/>
      <c r="P527" s="693"/>
      <c r="Q527" s="693"/>
    </row>
    <row r="528" spans="1:17" ht="13.5">
      <c r="A528" s="693"/>
      <c r="B528" s="693"/>
      <c r="C528" s="693"/>
      <c r="D528" s="693"/>
      <c r="E528" s="693"/>
      <c r="F528" s="693"/>
      <c r="G528" s="693"/>
      <c r="H528" s="693"/>
      <c r="I528" s="693"/>
      <c r="J528" s="693"/>
      <c r="K528" s="693"/>
      <c r="L528" s="693"/>
      <c r="M528" s="693"/>
      <c r="N528" s="693"/>
      <c r="O528" s="693"/>
      <c r="P528" s="693"/>
      <c r="Q528" s="693"/>
    </row>
    <row r="529" spans="1:17" ht="13.5">
      <c r="A529" s="693"/>
      <c r="B529" s="693"/>
      <c r="C529" s="693"/>
      <c r="D529" s="693"/>
      <c r="E529" s="693"/>
      <c r="F529" s="693"/>
      <c r="G529" s="693"/>
      <c r="H529" s="693"/>
      <c r="I529" s="693"/>
      <c r="J529" s="693"/>
      <c r="K529" s="693"/>
      <c r="L529" s="693"/>
      <c r="M529" s="693"/>
      <c r="N529" s="693"/>
      <c r="O529" s="693"/>
      <c r="P529" s="693"/>
      <c r="Q529" s="693"/>
    </row>
    <row r="530" spans="1:17" ht="13.5">
      <c r="A530" s="693"/>
      <c r="B530" s="693"/>
      <c r="C530" s="693"/>
      <c r="D530" s="693"/>
      <c r="E530" s="693"/>
      <c r="F530" s="693"/>
      <c r="G530" s="693"/>
      <c r="H530" s="693"/>
      <c r="I530" s="693"/>
      <c r="J530" s="693"/>
      <c r="K530" s="693"/>
      <c r="L530" s="693"/>
      <c r="M530" s="693"/>
      <c r="N530" s="693"/>
      <c r="O530" s="693"/>
      <c r="P530" s="693"/>
      <c r="Q530" s="693"/>
    </row>
    <row r="531" spans="1:17" ht="13.5">
      <c r="A531" s="693"/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3"/>
      <c r="N531" s="693"/>
      <c r="O531" s="693"/>
      <c r="P531" s="693"/>
      <c r="Q531" s="693"/>
    </row>
    <row r="532" spans="1:17" ht="13.5">
      <c r="A532" s="693"/>
      <c r="B532" s="693"/>
      <c r="C532" s="693"/>
      <c r="D532" s="693"/>
      <c r="E532" s="693"/>
      <c r="F532" s="693"/>
      <c r="G532" s="693"/>
      <c r="H532" s="693"/>
      <c r="I532" s="693"/>
      <c r="J532" s="693"/>
      <c r="K532" s="693"/>
      <c r="L532" s="693"/>
      <c r="M532" s="693"/>
      <c r="N532" s="693"/>
      <c r="O532" s="693"/>
      <c r="P532" s="693"/>
      <c r="Q532" s="693"/>
    </row>
    <row r="533" spans="1:17" ht="13.5">
      <c r="A533" s="693"/>
      <c r="B533" s="693"/>
      <c r="C533" s="693"/>
      <c r="D533" s="693"/>
      <c r="E533" s="693"/>
      <c r="F533" s="693"/>
      <c r="G533" s="693"/>
      <c r="H533" s="693"/>
      <c r="I533" s="693"/>
      <c r="J533" s="693"/>
      <c r="K533" s="693"/>
      <c r="L533" s="693"/>
      <c r="M533" s="693"/>
      <c r="N533" s="693"/>
      <c r="O533" s="693"/>
      <c r="P533" s="693"/>
      <c r="Q533" s="693"/>
    </row>
    <row r="534" spans="1:17" ht="13.5">
      <c r="A534" s="693"/>
      <c r="B534" s="693"/>
      <c r="C534" s="693"/>
      <c r="D534" s="693"/>
      <c r="E534" s="693"/>
      <c r="F534" s="693"/>
      <c r="G534" s="693"/>
      <c r="H534" s="693"/>
      <c r="I534" s="693"/>
      <c r="J534" s="693"/>
      <c r="K534" s="693"/>
      <c r="L534" s="693"/>
      <c r="M534" s="693"/>
      <c r="N534" s="693"/>
      <c r="O534" s="693"/>
      <c r="P534" s="693"/>
      <c r="Q534" s="693"/>
    </row>
    <row r="535" spans="1:17" ht="13.5">
      <c r="A535" s="693"/>
      <c r="B535" s="693"/>
      <c r="C535" s="693"/>
      <c r="D535" s="693"/>
      <c r="E535" s="693"/>
      <c r="F535" s="693"/>
      <c r="G535" s="693"/>
      <c r="H535" s="693"/>
      <c r="I535" s="693"/>
      <c r="J535" s="693"/>
      <c r="K535" s="693"/>
      <c r="L535" s="693"/>
      <c r="M535" s="693"/>
      <c r="N535" s="693"/>
      <c r="O535" s="693"/>
      <c r="P535" s="693"/>
      <c r="Q535" s="693"/>
    </row>
    <row r="536" spans="1:17" ht="13.5">
      <c r="A536" s="693"/>
      <c r="B536" s="693"/>
      <c r="C536" s="693"/>
      <c r="D536" s="693"/>
      <c r="E536" s="693"/>
      <c r="F536" s="693"/>
      <c r="G536" s="693"/>
      <c r="H536" s="693"/>
      <c r="I536" s="693"/>
      <c r="J536" s="693"/>
      <c r="K536" s="693"/>
      <c r="L536" s="693"/>
      <c r="M536" s="693"/>
      <c r="N536" s="693"/>
      <c r="O536" s="693"/>
      <c r="P536" s="693"/>
      <c r="Q536" s="693"/>
    </row>
    <row r="537" spans="1:17" ht="13.5">
      <c r="A537" s="693"/>
      <c r="B537" s="693"/>
      <c r="C537" s="693"/>
      <c r="D537" s="693"/>
      <c r="E537" s="693"/>
      <c r="F537" s="693"/>
      <c r="G537" s="693"/>
      <c r="H537" s="693"/>
      <c r="I537" s="693"/>
      <c r="J537" s="693"/>
      <c r="K537" s="693"/>
      <c r="L537" s="693"/>
      <c r="M537" s="693"/>
      <c r="N537" s="693"/>
      <c r="O537" s="693"/>
      <c r="P537" s="693"/>
      <c r="Q537" s="693"/>
    </row>
    <row r="538" spans="1:17" ht="13.5">
      <c r="A538" s="693"/>
      <c r="B538" s="693"/>
      <c r="C538" s="693"/>
      <c r="D538" s="693"/>
      <c r="E538" s="693"/>
      <c r="F538" s="693"/>
      <c r="G538" s="693"/>
      <c r="H538" s="693"/>
      <c r="I538" s="693"/>
      <c r="J538" s="693"/>
      <c r="K538" s="693"/>
      <c r="L538" s="693"/>
      <c r="M538" s="693"/>
      <c r="N538" s="693"/>
      <c r="O538" s="693"/>
      <c r="P538" s="693"/>
      <c r="Q538" s="693"/>
    </row>
    <row r="539" spans="1:17" ht="13.5">
      <c r="A539" s="693"/>
      <c r="B539" s="693"/>
      <c r="C539" s="693"/>
      <c r="D539" s="693"/>
      <c r="E539" s="693"/>
      <c r="F539" s="693"/>
      <c r="G539" s="693"/>
      <c r="H539" s="693"/>
      <c r="I539" s="693"/>
      <c r="J539" s="693"/>
      <c r="K539" s="693"/>
      <c r="L539" s="693"/>
      <c r="M539" s="693"/>
      <c r="N539" s="693"/>
      <c r="O539" s="693"/>
      <c r="P539" s="693"/>
      <c r="Q539" s="693"/>
    </row>
    <row r="540" spans="1:17" ht="13.5">
      <c r="A540" s="693"/>
      <c r="B540" s="693"/>
      <c r="C540" s="693"/>
      <c r="D540" s="693"/>
      <c r="E540" s="693"/>
      <c r="F540" s="693"/>
      <c r="G540" s="693"/>
      <c r="H540" s="693"/>
      <c r="I540" s="693"/>
      <c r="J540" s="693"/>
      <c r="K540" s="693"/>
      <c r="L540" s="693"/>
      <c r="M540" s="693"/>
      <c r="N540" s="693"/>
      <c r="O540" s="693"/>
      <c r="P540" s="693"/>
      <c r="Q540" s="693"/>
    </row>
    <row r="541" spans="1:17" ht="13.5">
      <c r="A541" s="693"/>
      <c r="B541" s="693"/>
      <c r="C541" s="693"/>
      <c r="D541" s="693"/>
      <c r="E541" s="693"/>
      <c r="F541" s="693"/>
      <c r="G541" s="693"/>
      <c r="H541" s="693"/>
      <c r="I541" s="693"/>
      <c r="J541" s="693"/>
      <c r="K541" s="693"/>
      <c r="L541" s="693"/>
      <c r="M541" s="693"/>
      <c r="N541" s="693"/>
      <c r="O541" s="693"/>
      <c r="P541" s="693"/>
      <c r="Q541" s="693"/>
    </row>
    <row r="542" spans="1:17" ht="13.5">
      <c r="A542" s="693"/>
      <c r="B542" s="693"/>
      <c r="C542" s="693"/>
      <c r="D542" s="693"/>
      <c r="E542" s="693"/>
      <c r="F542" s="693"/>
      <c r="G542" s="693"/>
      <c r="H542" s="693"/>
      <c r="I542" s="693"/>
      <c r="J542" s="693"/>
      <c r="K542" s="693"/>
      <c r="L542" s="693"/>
      <c r="M542" s="693"/>
      <c r="N542" s="693"/>
      <c r="O542" s="693"/>
      <c r="P542" s="693"/>
      <c r="Q542" s="693"/>
    </row>
    <row r="543" spans="1:17" ht="13.5">
      <c r="A543" s="693"/>
      <c r="B543" s="693"/>
      <c r="C543" s="693"/>
      <c r="D543" s="693"/>
      <c r="E543" s="693"/>
      <c r="F543" s="693"/>
      <c r="G543" s="693"/>
      <c r="H543" s="693"/>
      <c r="I543" s="693"/>
      <c r="J543" s="693"/>
      <c r="K543" s="693"/>
      <c r="L543" s="693"/>
      <c r="M543" s="693"/>
      <c r="N543" s="693"/>
      <c r="O543" s="693"/>
      <c r="P543" s="693"/>
      <c r="Q543" s="693"/>
    </row>
    <row r="544" spans="1:17" ht="13.5">
      <c r="A544" s="693"/>
      <c r="B544" s="693"/>
      <c r="C544" s="693"/>
      <c r="D544" s="693"/>
      <c r="E544" s="693"/>
      <c r="F544" s="693"/>
      <c r="G544" s="693"/>
      <c r="H544" s="693"/>
      <c r="I544" s="693"/>
      <c r="J544" s="693"/>
      <c r="K544" s="693"/>
      <c r="L544" s="693"/>
      <c r="M544" s="693"/>
      <c r="N544" s="693"/>
      <c r="O544" s="693"/>
      <c r="P544" s="693"/>
      <c r="Q544" s="693"/>
    </row>
    <row r="545" spans="1:17" ht="13.5">
      <c r="A545" s="693"/>
      <c r="B545" s="693"/>
      <c r="C545" s="693"/>
      <c r="D545" s="693"/>
      <c r="E545" s="693"/>
      <c r="F545" s="693"/>
      <c r="G545" s="693"/>
      <c r="H545" s="693"/>
      <c r="I545" s="693"/>
      <c r="J545" s="693"/>
      <c r="K545" s="693"/>
      <c r="L545" s="693"/>
      <c r="M545" s="693"/>
      <c r="N545" s="693"/>
      <c r="O545" s="693"/>
      <c r="P545" s="693"/>
      <c r="Q545" s="693"/>
    </row>
    <row r="546" spans="1:17" ht="13.5">
      <c r="A546" s="693"/>
      <c r="B546" s="693"/>
      <c r="C546" s="693"/>
      <c r="D546" s="693"/>
      <c r="E546" s="693"/>
      <c r="F546" s="693"/>
      <c r="G546" s="693"/>
      <c r="H546" s="693"/>
      <c r="I546" s="693"/>
      <c r="J546" s="693"/>
      <c r="K546" s="693"/>
      <c r="L546" s="693"/>
      <c r="M546" s="693"/>
      <c r="N546" s="693"/>
      <c r="O546" s="693"/>
      <c r="P546" s="693"/>
      <c r="Q546" s="693"/>
    </row>
    <row r="547" spans="1:17" ht="13.5">
      <c r="A547" s="693"/>
      <c r="B547" s="693"/>
      <c r="C547" s="693"/>
      <c r="D547" s="693"/>
      <c r="E547" s="693"/>
      <c r="F547" s="693"/>
      <c r="G547" s="693"/>
      <c r="H547" s="693"/>
      <c r="I547" s="693"/>
      <c r="J547" s="693"/>
      <c r="K547" s="693"/>
      <c r="L547" s="693"/>
      <c r="M547" s="693"/>
      <c r="N547" s="693"/>
      <c r="O547" s="693"/>
      <c r="P547" s="693"/>
      <c r="Q547" s="693"/>
    </row>
    <row r="548" spans="1:17" ht="13.5">
      <c r="A548" s="693"/>
      <c r="B548" s="693"/>
      <c r="C548" s="693"/>
      <c r="D548" s="693"/>
      <c r="E548" s="693"/>
      <c r="F548" s="693"/>
      <c r="G548" s="693"/>
      <c r="H548" s="693"/>
      <c r="I548" s="693"/>
      <c r="J548" s="693"/>
      <c r="K548" s="693"/>
      <c r="L548" s="693"/>
      <c r="M548" s="693"/>
      <c r="N548" s="693"/>
      <c r="O548" s="693"/>
      <c r="P548" s="693"/>
      <c r="Q548" s="693"/>
    </row>
    <row r="549" spans="1:17" ht="13.5">
      <c r="A549" s="693"/>
      <c r="B549" s="693"/>
      <c r="C549" s="693"/>
      <c r="D549" s="693"/>
      <c r="E549" s="693"/>
      <c r="F549" s="693"/>
      <c r="G549" s="693"/>
      <c r="H549" s="693"/>
      <c r="I549" s="693"/>
      <c r="J549" s="693"/>
      <c r="K549" s="693"/>
      <c r="L549" s="693"/>
      <c r="M549" s="693"/>
      <c r="N549" s="693"/>
      <c r="O549" s="693"/>
      <c r="P549" s="693"/>
      <c r="Q549" s="693"/>
    </row>
    <row r="550" spans="1:17" ht="13.5">
      <c r="A550" s="693"/>
      <c r="B550" s="693"/>
      <c r="C550" s="693"/>
      <c r="D550" s="693"/>
      <c r="E550" s="693"/>
      <c r="F550" s="693"/>
      <c r="G550" s="693"/>
      <c r="H550" s="693"/>
      <c r="I550" s="693"/>
      <c r="J550" s="693"/>
      <c r="K550" s="693"/>
      <c r="L550" s="693"/>
      <c r="M550" s="693"/>
      <c r="N550" s="693"/>
      <c r="O550" s="693"/>
      <c r="P550" s="693"/>
      <c r="Q550" s="693"/>
    </row>
    <row r="551" spans="1:17" ht="13.5">
      <c r="A551" s="693"/>
      <c r="B551" s="693"/>
      <c r="C551" s="693"/>
      <c r="D551" s="693"/>
      <c r="E551" s="693"/>
      <c r="F551" s="693"/>
      <c r="G551" s="693"/>
      <c r="H551" s="693"/>
      <c r="I551" s="693"/>
      <c r="J551" s="693"/>
      <c r="K551" s="693"/>
      <c r="L551" s="693"/>
      <c r="M551" s="693"/>
      <c r="N551" s="693"/>
      <c r="O551" s="693"/>
      <c r="P551" s="693"/>
      <c r="Q551" s="693"/>
    </row>
    <row r="552" spans="1:17" ht="13.5">
      <c r="A552" s="693"/>
      <c r="B552" s="693"/>
      <c r="C552" s="693"/>
      <c r="D552" s="693"/>
      <c r="E552" s="693"/>
      <c r="F552" s="693"/>
      <c r="G552" s="693"/>
      <c r="H552" s="693"/>
      <c r="I552" s="693"/>
      <c r="J552" s="693"/>
      <c r="K552" s="693"/>
      <c r="L552" s="693"/>
      <c r="M552" s="693"/>
      <c r="N552" s="693"/>
      <c r="O552" s="693"/>
      <c r="P552" s="693"/>
      <c r="Q552" s="693"/>
    </row>
    <row r="553" spans="1:17" ht="13.5">
      <c r="A553" s="693"/>
      <c r="B553" s="693"/>
      <c r="C553" s="693"/>
      <c r="D553" s="693"/>
      <c r="E553" s="693"/>
      <c r="F553" s="693"/>
      <c r="G553" s="693"/>
      <c r="H553" s="693"/>
      <c r="I553" s="693"/>
      <c r="J553" s="693"/>
      <c r="K553" s="693"/>
      <c r="L553" s="693"/>
      <c r="M553" s="693"/>
      <c r="N553" s="693"/>
      <c r="O553" s="693"/>
      <c r="P553" s="693"/>
      <c r="Q553" s="693"/>
    </row>
    <row r="554" spans="1:17" ht="13.5">
      <c r="A554" s="693"/>
      <c r="B554" s="693"/>
      <c r="C554" s="693"/>
      <c r="D554" s="693"/>
      <c r="E554" s="693"/>
      <c r="F554" s="693"/>
      <c r="G554" s="693"/>
      <c r="H554" s="693"/>
      <c r="I554" s="693"/>
      <c r="J554" s="693"/>
      <c r="K554" s="693"/>
      <c r="L554" s="693"/>
      <c r="M554" s="693"/>
      <c r="N554" s="693"/>
      <c r="O554" s="693"/>
      <c r="P554" s="693"/>
      <c r="Q554" s="693"/>
    </row>
    <row r="555" spans="1:17" ht="13.5">
      <c r="A555" s="693"/>
      <c r="B555" s="693"/>
      <c r="C555" s="693"/>
      <c r="D555" s="693"/>
      <c r="E555" s="693"/>
      <c r="F555" s="693"/>
      <c r="G555" s="693"/>
      <c r="H555" s="693"/>
      <c r="I555" s="693"/>
      <c r="J555" s="693"/>
      <c r="K555" s="693"/>
      <c r="L555" s="693"/>
      <c r="M555" s="693"/>
      <c r="N555" s="693"/>
      <c r="O555" s="693"/>
      <c r="P555" s="693"/>
      <c r="Q555" s="693"/>
    </row>
    <row r="556" spans="1:17" ht="13.5">
      <c r="A556" s="693"/>
      <c r="B556" s="693"/>
      <c r="C556" s="693"/>
      <c r="D556" s="693"/>
      <c r="E556" s="693"/>
      <c r="F556" s="693"/>
      <c r="G556" s="693"/>
      <c r="H556" s="693"/>
      <c r="I556" s="693"/>
      <c r="J556" s="693"/>
      <c r="K556" s="693"/>
      <c r="L556" s="693"/>
      <c r="M556" s="693"/>
      <c r="N556" s="693"/>
      <c r="O556" s="693"/>
      <c r="P556" s="693"/>
      <c r="Q556" s="693"/>
    </row>
    <row r="557" spans="1:17" ht="13.5">
      <c r="A557" s="693"/>
      <c r="B557" s="693"/>
      <c r="C557" s="693"/>
      <c r="D557" s="693"/>
      <c r="E557" s="693"/>
      <c r="F557" s="693"/>
      <c r="G557" s="693"/>
      <c r="H557" s="693"/>
      <c r="I557" s="693"/>
      <c r="J557" s="693"/>
      <c r="K557" s="693"/>
      <c r="L557" s="693"/>
      <c r="M557" s="693"/>
      <c r="N557" s="693"/>
      <c r="O557" s="693"/>
      <c r="P557" s="693"/>
      <c r="Q557" s="693"/>
    </row>
    <row r="558" spans="1:17" ht="13.5">
      <c r="A558" s="693"/>
      <c r="B558" s="693"/>
      <c r="C558" s="693"/>
      <c r="D558" s="693"/>
      <c r="E558" s="693"/>
      <c r="F558" s="693"/>
      <c r="G558" s="693"/>
      <c r="H558" s="693"/>
      <c r="I558" s="693"/>
      <c r="J558" s="693"/>
      <c r="K558" s="693"/>
      <c r="L558" s="693"/>
      <c r="M558" s="693"/>
      <c r="N558" s="693"/>
      <c r="O558" s="693"/>
      <c r="P558" s="693"/>
      <c r="Q558" s="693"/>
    </row>
    <row r="559" spans="1:17" ht="13.5">
      <c r="A559" s="693"/>
      <c r="B559" s="693"/>
      <c r="C559" s="693"/>
      <c r="D559" s="693"/>
      <c r="E559" s="693"/>
      <c r="F559" s="693"/>
      <c r="G559" s="693"/>
      <c r="H559" s="693"/>
      <c r="I559" s="693"/>
      <c r="J559" s="693"/>
      <c r="K559" s="693"/>
      <c r="L559" s="693"/>
      <c r="M559" s="693"/>
      <c r="N559" s="693"/>
      <c r="O559" s="693"/>
      <c r="P559" s="693"/>
      <c r="Q559" s="693"/>
    </row>
    <row r="560" spans="1:17" ht="13.5">
      <c r="A560" s="693"/>
      <c r="B560" s="693"/>
      <c r="C560" s="693"/>
      <c r="D560" s="693"/>
      <c r="E560" s="693"/>
      <c r="F560" s="693"/>
      <c r="G560" s="693"/>
      <c r="H560" s="693"/>
      <c r="I560" s="693"/>
      <c r="J560" s="693"/>
      <c r="K560" s="693"/>
      <c r="L560" s="693"/>
      <c r="M560" s="693"/>
      <c r="N560" s="693"/>
      <c r="O560" s="693"/>
      <c r="P560" s="693"/>
      <c r="Q560" s="693"/>
    </row>
    <row r="561" spans="1:17" ht="13.5">
      <c r="A561" s="693"/>
      <c r="B561" s="693"/>
      <c r="C561" s="693"/>
      <c r="D561" s="693"/>
      <c r="E561" s="693"/>
      <c r="F561" s="693"/>
      <c r="G561" s="693"/>
      <c r="H561" s="693"/>
      <c r="I561" s="693"/>
      <c r="J561" s="693"/>
      <c r="K561" s="693"/>
      <c r="L561" s="693"/>
      <c r="M561" s="693"/>
      <c r="N561" s="693"/>
      <c r="O561" s="693"/>
      <c r="P561" s="693"/>
      <c r="Q561" s="693"/>
    </row>
    <row r="562" spans="1:17" ht="13.5">
      <c r="A562" s="693"/>
      <c r="B562" s="693"/>
      <c r="C562" s="693"/>
      <c r="D562" s="693"/>
      <c r="E562" s="693"/>
      <c r="F562" s="693"/>
      <c r="G562" s="693"/>
      <c r="H562" s="693"/>
      <c r="I562" s="693"/>
      <c r="J562" s="693"/>
      <c r="K562" s="693"/>
      <c r="L562" s="693"/>
      <c r="M562" s="693"/>
      <c r="N562" s="693"/>
      <c r="O562" s="693"/>
      <c r="P562" s="693"/>
      <c r="Q562" s="693"/>
    </row>
    <row r="563" spans="1:17" ht="13.5">
      <c r="A563" s="693"/>
      <c r="B563" s="693"/>
      <c r="C563" s="693"/>
      <c r="D563" s="693"/>
      <c r="E563" s="693"/>
      <c r="F563" s="693"/>
      <c r="G563" s="693"/>
      <c r="H563" s="693"/>
      <c r="I563" s="693"/>
      <c r="J563" s="693"/>
      <c r="K563" s="693"/>
      <c r="L563" s="693"/>
      <c r="M563" s="693"/>
      <c r="N563" s="693"/>
      <c r="O563" s="693"/>
      <c r="P563" s="693"/>
      <c r="Q563" s="693"/>
    </row>
    <row r="564" spans="1:17" ht="13.5">
      <c r="A564" s="693"/>
      <c r="B564" s="693"/>
      <c r="C564" s="693"/>
      <c r="D564" s="693"/>
      <c r="E564" s="693"/>
      <c r="F564" s="693"/>
      <c r="G564" s="693"/>
      <c r="H564" s="693"/>
      <c r="I564" s="693"/>
      <c r="J564" s="693"/>
      <c r="K564" s="693"/>
      <c r="L564" s="693"/>
      <c r="M564" s="693"/>
      <c r="N564" s="693"/>
      <c r="O564" s="693"/>
      <c r="P564" s="693"/>
      <c r="Q564" s="693"/>
    </row>
    <row r="565" spans="1:17" ht="13.5">
      <c r="A565" s="693"/>
      <c r="B565" s="693"/>
      <c r="C565" s="693"/>
      <c r="D565" s="693"/>
      <c r="E565" s="693"/>
      <c r="F565" s="693"/>
      <c r="G565" s="693"/>
      <c r="H565" s="693"/>
      <c r="I565" s="693"/>
      <c r="J565" s="693"/>
      <c r="K565" s="693"/>
      <c r="L565" s="693"/>
      <c r="M565" s="693"/>
      <c r="N565" s="693"/>
      <c r="O565" s="693"/>
      <c r="P565" s="693"/>
      <c r="Q565" s="693"/>
    </row>
    <row r="566" spans="1:17" ht="13.5">
      <c r="A566" s="693"/>
      <c r="B566" s="693"/>
      <c r="C566" s="693"/>
      <c r="D566" s="693"/>
      <c r="E566" s="693"/>
      <c r="F566" s="693"/>
      <c r="G566" s="693"/>
      <c r="H566" s="693"/>
      <c r="I566" s="693"/>
      <c r="J566" s="693"/>
      <c r="K566" s="693"/>
      <c r="L566" s="693"/>
      <c r="M566" s="693"/>
      <c r="N566" s="693"/>
      <c r="O566" s="693"/>
      <c r="P566" s="693"/>
      <c r="Q566" s="693"/>
    </row>
    <row r="567" spans="1:17" ht="13.5">
      <c r="A567" s="693"/>
      <c r="B567" s="693"/>
      <c r="C567" s="693"/>
      <c r="D567" s="693"/>
      <c r="E567" s="693"/>
      <c r="F567" s="693"/>
      <c r="G567" s="693"/>
      <c r="H567" s="693"/>
      <c r="I567" s="693"/>
      <c r="J567" s="693"/>
      <c r="K567" s="693"/>
      <c r="L567" s="693"/>
      <c r="M567" s="693"/>
      <c r="N567" s="693"/>
      <c r="O567" s="693"/>
      <c r="P567" s="693"/>
      <c r="Q567" s="693"/>
    </row>
    <row r="568" spans="1:17" ht="13.5">
      <c r="A568" s="693"/>
      <c r="B568" s="693"/>
      <c r="C568" s="693"/>
      <c r="D568" s="693"/>
      <c r="E568" s="693"/>
      <c r="F568" s="693"/>
      <c r="G568" s="693"/>
      <c r="H568" s="693"/>
      <c r="I568" s="693"/>
      <c r="J568" s="693"/>
      <c r="K568" s="693"/>
      <c r="L568" s="693"/>
      <c r="M568" s="693"/>
      <c r="N568" s="693"/>
      <c r="O568" s="693"/>
      <c r="P568" s="693"/>
      <c r="Q568" s="693"/>
    </row>
    <row r="569" spans="1:17" ht="13.5">
      <c r="A569" s="693"/>
      <c r="B569" s="693"/>
      <c r="C569" s="693"/>
      <c r="D569" s="693"/>
      <c r="E569" s="693"/>
      <c r="F569" s="693"/>
      <c r="G569" s="693"/>
      <c r="H569" s="693"/>
      <c r="I569" s="693"/>
      <c r="J569" s="693"/>
      <c r="K569" s="693"/>
      <c r="L569" s="693"/>
      <c r="M569" s="693"/>
      <c r="N569" s="693"/>
      <c r="O569" s="693"/>
      <c r="P569" s="693"/>
      <c r="Q569" s="693"/>
    </row>
    <row r="570" spans="1:17" ht="13.5">
      <c r="A570" s="693"/>
      <c r="B570" s="693"/>
      <c r="C570" s="693"/>
      <c r="D570" s="693"/>
      <c r="E570" s="693"/>
      <c r="F570" s="693"/>
      <c r="G570" s="693"/>
      <c r="H570" s="693"/>
      <c r="I570" s="693"/>
      <c r="J570" s="693"/>
      <c r="K570" s="693"/>
      <c r="L570" s="693"/>
      <c r="M570" s="693"/>
      <c r="N570" s="693"/>
      <c r="O570" s="693"/>
      <c r="P570" s="693"/>
      <c r="Q570" s="693"/>
    </row>
    <row r="571" spans="1:17" ht="13.5">
      <c r="A571" s="693"/>
      <c r="B571" s="693"/>
      <c r="C571" s="693"/>
      <c r="D571" s="693"/>
      <c r="E571" s="693"/>
      <c r="F571" s="693"/>
      <c r="G571" s="693"/>
      <c r="H571" s="693"/>
      <c r="I571" s="693"/>
      <c r="J571" s="693"/>
      <c r="K571" s="693"/>
      <c r="L571" s="693"/>
      <c r="M571" s="693"/>
      <c r="N571" s="693"/>
      <c r="O571" s="693"/>
      <c r="P571" s="693"/>
      <c r="Q571" s="693"/>
    </row>
    <row r="572" spans="1:17" ht="13.5">
      <c r="A572" s="693"/>
      <c r="B572" s="693"/>
      <c r="C572" s="693"/>
      <c r="D572" s="693"/>
      <c r="E572" s="693"/>
      <c r="F572" s="693"/>
      <c r="G572" s="693"/>
      <c r="H572" s="693"/>
      <c r="I572" s="693"/>
      <c r="J572" s="693"/>
      <c r="K572" s="693"/>
      <c r="L572" s="693"/>
      <c r="M572" s="693"/>
      <c r="N572" s="693"/>
      <c r="O572" s="693"/>
      <c r="P572" s="693"/>
      <c r="Q572" s="693"/>
    </row>
    <row r="573" spans="1:17" ht="13.5">
      <c r="A573" s="693"/>
      <c r="B573" s="693"/>
      <c r="C573" s="693"/>
      <c r="D573" s="693"/>
      <c r="E573" s="693"/>
      <c r="F573" s="693"/>
      <c r="G573" s="693"/>
      <c r="H573" s="693"/>
      <c r="I573" s="693"/>
      <c r="J573" s="693"/>
      <c r="K573" s="693"/>
      <c r="L573" s="693"/>
      <c r="M573" s="693"/>
      <c r="N573" s="693"/>
      <c r="O573" s="693"/>
      <c r="P573" s="693"/>
      <c r="Q573" s="693"/>
    </row>
    <row r="574" spans="1:17" ht="13.5">
      <c r="A574" s="693"/>
      <c r="B574" s="693"/>
      <c r="C574" s="693"/>
      <c r="D574" s="693"/>
      <c r="E574" s="693"/>
      <c r="F574" s="693"/>
      <c r="G574" s="693"/>
      <c r="H574" s="693"/>
      <c r="I574" s="693"/>
      <c r="J574" s="693"/>
      <c r="K574" s="693"/>
      <c r="L574" s="693"/>
      <c r="M574" s="693"/>
      <c r="N574" s="693"/>
      <c r="O574" s="693"/>
      <c r="P574" s="693"/>
      <c r="Q574" s="693"/>
    </row>
    <row r="575" spans="1:17" ht="13.5">
      <c r="A575" s="693"/>
      <c r="B575" s="693"/>
      <c r="C575" s="693"/>
      <c r="D575" s="693"/>
      <c r="E575" s="693"/>
      <c r="F575" s="693"/>
      <c r="G575" s="693"/>
      <c r="H575" s="693"/>
      <c r="I575" s="693"/>
      <c r="J575" s="693"/>
      <c r="K575" s="693"/>
      <c r="L575" s="693"/>
      <c r="M575" s="693"/>
      <c r="N575" s="693"/>
      <c r="O575" s="693"/>
      <c r="P575" s="693"/>
      <c r="Q575" s="693"/>
    </row>
    <row r="576" spans="1:17" ht="13.5">
      <c r="A576" s="693"/>
      <c r="B576" s="693"/>
      <c r="C576" s="693"/>
      <c r="D576" s="693"/>
      <c r="E576" s="693"/>
      <c r="F576" s="693"/>
      <c r="G576" s="693"/>
      <c r="H576" s="693"/>
      <c r="I576" s="693"/>
      <c r="J576" s="693"/>
      <c r="K576" s="693"/>
      <c r="L576" s="693"/>
      <c r="M576" s="693"/>
      <c r="N576" s="693"/>
      <c r="O576" s="693"/>
      <c r="P576" s="693"/>
      <c r="Q576" s="693"/>
    </row>
    <row r="577" spans="1:17" ht="13.5">
      <c r="A577" s="693"/>
      <c r="B577" s="693"/>
      <c r="C577" s="693"/>
      <c r="D577" s="693"/>
      <c r="E577" s="693"/>
      <c r="F577" s="693"/>
      <c r="G577" s="693"/>
      <c r="H577" s="693"/>
      <c r="I577" s="693"/>
      <c r="J577" s="693"/>
      <c r="K577" s="693"/>
      <c r="L577" s="693"/>
      <c r="M577" s="693"/>
      <c r="N577" s="693"/>
      <c r="O577" s="693"/>
      <c r="P577" s="693"/>
      <c r="Q577" s="693"/>
    </row>
    <row r="578" spans="1:17" ht="13.5">
      <c r="A578" s="693"/>
      <c r="B578" s="693"/>
      <c r="C578" s="693"/>
      <c r="D578" s="693"/>
      <c r="E578" s="693"/>
      <c r="F578" s="693"/>
      <c r="G578" s="693"/>
      <c r="H578" s="693"/>
      <c r="I578" s="693"/>
      <c r="J578" s="693"/>
      <c r="K578" s="693"/>
      <c r="L578" s="693"/>
      <c r="M578" s="693"/>
      <c r="N578" s="693"/>
      <c r="O578" s="693"/>
      <c r="P578" s="693"/>
      <c r="Q578" s="693"/>
    </row>
    <row r="579" spans="1:17" ht="13.5">
      <c r="A579" s="693"/>
      <c r="B579" s="693"/>
      <c r="C579" s="693"/>
      <c r="D579" s="693"/>
      <c r="E579" s="693"/>
      <c r="F579" s="693"/>
      <c r="G579" s="693"/>
      <c r="H579" s="693"/>
      <c r="I579" s="693"/>
      <c r="J579" s="693"/>
      <c r="K579" s="693"/>
      <c r="L579" s="693"/>
      <c r="M579" s="693"/>
      <c r="N579" s="693"/>
      <c r="O579" s="693"/>
      <c r="P579" s="693"/>
      <c r="Q579" s="693"/>
    </row>
    <row r="580" spans="1:17" ht="13.5">
      <c r="A580" s="693"/>
      <c r="B580" s="693"/>
      <c r="C580" s="693"/>
      <c r="D580" s="693"/>
      <c r="E580" s="693"/>
      <c r="F580" s="693"/>
      <c r="G580" s="693"/>
      <c r="H580" s="693"/>
      <c r="I580" s="693"/>
      <c r="J580" s="693"/>
      <c r="K580" s="693"/>
      <c r="L580" s="693"/>
      <c r="M580" s="693"/>
      <c r="N580" s="693"/>
      <c r="O580" s="693"/>
      <c r="P580" s="693"/>
      <c r="Q580" s="693"/>
    </row>
    <row r="581" spans="1:17" ht="13.5">
      <c r="A581" s="693"/>
      <c r="B581" s="693"/>
      <c r="C581" s="693"/>
      <c r="D581" s="693"/>
      <c r="E581" s="693"/>
      <c r="F581" s="693"/>
      <c r="G581" s="693"/>
      <c r="H581" s="693"/>
      <c r="I581" s="693"/>
      <c r="J581" s="693"/>
      <c r="K581" s="693"/>
      <c r="L581" s="693"/>
      <c r="M581" s="693"/>
      <c r="N581" s="693"/>
      <c r="O581" s="693"/>
      <c r="P581" s="693"/>
      <c r="Q581" s="693"/>
    </row>
    <row r="582" spans="1:17" ht="13.5">
      <c r="A582" s="693"/>
      <c r="B582" s="693"/>
      <c r="C582" s="693"/>
      <c r="D582" s="693"/>
      <c r="E582" s="693"/>
      <c r="F582" s="693"/>
      <c r="G582" s="693"/>
      <c r="H582" s="693"/>
      <c r="I582" s="693"/>
      <c r="J582" s="693"/>
      <c r="K582" s="693"/>
      <c r="L582" s="693"/>
      <c r="M582" s="693"/>
      <c r="N582" s="693"/>
      <c r="O582" s="693"/>
      <c r="P582" s="693"/>
      <c r="Q582" s="693"/>
    </row>
    <row r="583" spans="1:17" ht="13.5">
      <c r="A583" s="693"/>
      <c r="B583" s="693"/>
      <c r="C583" s="693"/>
      <c r="D583" s="693"/>
      <c r="E583" s="693"/>
      <c r="F583" s="693"/>
      <c r="G583" s="693"/>
      <c r="H583" s="693"/>
      <c r="I583" s="693"/>
      <c r="J583" s="693"/>
      <c r="K583" s="693"/>
      <c r="L583" s="693"/>
      <c r="M583" s="693"/>
      <c r="N583" s="693"/>
      <c r="O583" s="693"/>
      <c r="P583" s="693"/>
      <c r="Q583" s="693"/>
    </row>
    <row r="584" spans="1:17" ht="13.5">
      <c r="A584" s="693"/>
      <c r="B584" s="693"/>
      <c r="C584" s="693"/>
      <c r="D584" s="693"/>
      <c r="E584" s="693"/>
      <c r="F584" s="693"/>
      <c r="G584" s="693"/>
      <c r="H584" s="693"/>
      <c r="I584" s="693"/>
      <c r="J584" s="693"/>
      <c r="K584" s="693"/>
      <c r="L584" s="693"/>
      <c r="M584" s="693"/>
      <c r="N584" s="693"/>
      <c r="O584" s="693"/>
      <c r="P584" s="693"/>
      <c r="Q584" s="693"/>
    </row>
    <row r="585" spans="1:17" ht="13.5">
      <c r="A585" s="693"/>
      <c r="B585" s="693"/>
      <c r="C585" s="693"/>
      <c r="D585" s="693"/>
      <c r="E585" s="693"/>
      <c r="F585" s="693"/>
      <c r="G585" s="693"/>
      <c r="H585" s="693"/>
      <c r="I585" s="693"/>
      <c r="J585" s="693"/>
      <c r="K585" s="693"/>
      <c r="L585" s="693"/>
      <c r="M585" s="693"/>
      <c r="N585" s="693"/>
      <c r="O585" s="693"/>
      <c r="P585" s="693"/>
      <c r="Q585" s="693"/>
    </row>
    <row r="586" spans="1:17" ht="13.5">
      <c r="A586" s="693"/>
      <c r="B586" s="693"/>
      <c r="C586" s="693"/>
      <c r="D586" s="693"/>
      <c r="E586" s="693"/>
      <c r="F586" s="693"/>
      <c r="G586" s="693"/>
      <c r="H586" s="693"/>
      <c r="I586" s="693"/>
      <c r="J586" s="693"/>
      <c r="K586" s="693"/>
      <c r="L586" s="693"/>
      <c r="M586" s="693"/>
      <c r="N586" s="693"/>
      <c r="O586" s="693"/>
      <c r="P586" s="693"/>
      <c r="Q586" s="693"/>
    </row>
    <row r="587" spans="1:17" ht="13.5">
      <c r="A587" s="693"/>
      <c r="B587" s="693"/>
      <c r="C587" s="693"/>
      <c r="D587" s="693"/>
      <c r="E587" s="693"/>
      <c r="F587" s="693"/>
      <c r="G587" s="693"/>
      <c r="H587" s="693"/>
      <c r="I587" s="693"/>
      <c r="J587" s="693"/>
      <c r="K587" s="693"/>
      <c r="L587" s="693"/>
      <c r="M587" s="693"/>
      <c r="N587" s="693"/>
      <c r="O587" s="693"/>
      <c r="P587" s="693"/>
      <c r="Q587" s="693"/>
    </row>
    <row r="588" spans="1:17" ht="13.5">
      <c r="A588" s="693"/>
      <c r="B588" s="693"/>
      <c r="C588" s="693"/>
      <c r="D588" s="693"/>
      <c r="E588" s="693"/>
      <c r="F588" s="693"/>
      <c r="G588" s="693"/>
      <c r="H588" s="693"/>
      <c r="I588" s="693"/>
      <c r="J588" s="693"/>
      <c r="K588" s="693"/>
      <c r="L588" s="693"/>
      <c r="M588" s="693"/>
      <c r="N588" s="693"/>
      <c r="O588" s="693"/>
      <c r="P588" s="693"/>
      <c r="Q588" s="693"/>
    </row>
    <row r="589" spans="1:17" ht="13.5">
      <c r="A589" s="693"/>
      <c r="B589" s="693"/>
      <c r="C589" s="693"/>
      <c r="D589" s="693"/>
      <c r="E589" s="693"/>
      <c r="F589" s="693"/>
      <c r="G589" s="693"/>
      <c r="H589" s="693"/>
      <c r="I589" s="693"/>
      <c r="J589" s="693"/>
      <c r="K589" s="693"/>
      <c r="L589" s="693"/>
      <c r="M589" s="693"/>
      <c r="N589" s="693"/>
      <c r="O589" s="693"/>
      <c r="P589" s="693"/>
      <c r="Q589" s="693"/>
    </row>
    <row r="590" spans="1:17" ht="13.5">
      <c r="A590" s="693"/>
      <c r="B590" s="693"/>
      <c r="C590" s="693"/>
      <c r="D590" s="693"/>
      <c r="E590" s="693"/>
      <c r="F590" s="693"/>
      <c r="G590" s="693"/>
      <c r="H590" s="693"/>
      <c r="I590" s="693"/>
      <c r="J590" s="693"/>
      <c r="K590" s="693"/>
      <c r="L590" s="693"/>
      <c r="M590" s="693"/>
      <c r="N590" s="693"/>
      <c r="O590" s="693"/>
      <c r="P590" s="693"/>
      <c r="Q590" s="693"/>
    </row>
    <row r="591" spans="1:17" ht="13.5">
      <c r="A591" s="693"/>
      <c r="B591" s="693"/>
      <c r="C591" s="693"/>
      <c r="D591" s="693"/>
      <c r="E591" s="693"/>
      <c r="F591" s="693"/>
      <c r="G591" s="693"/>
      <c r="H591" s="693"/>
      <c r="I591" s="693"/>
      <c r="J591" s="693"/>
      <c r="K591" s="693"/>
      <c r="L591" s="693"/>
      <c r="M591" s="693"/>
      <c r="N591" s="693"/>
      <c r="O591" s="693"/>
      <c r="P591" s="693"/>
      <c r="Q591" s="693"/>
    </row>
    <row r="592" spans="1:17" ht="13.5">
      <c r="A592" s="693"/>
      <c r="B592" s="693"/>
      <c r="C592" s="693"/>
      <c r="D592" s="693"/>
      <c r="E592" s="693"/>
      <c r="F592" s="693"/>
      <c r="G592" s="693"/>
      <c r="H592" s="693"/>
      <c r="I592" s="693"/>
      <c r="J592" s="693"/>
      <c r="K592" s="693"/>
      <c r="L592" s="693"/>
      <c r="M592" s="693"/>
      <c r="N592" s="693"/>
      <c r="O592" s="693"/>
      <c r="P592" s="693"/>
      <c r="Q592" s="693"/>
    </row>
    <row r="593" spans="1:17" ht="13.5">
      <c r="A593" s="693"/>
      <c r="B593" s="693"/>
      <c r="C593" s="693"/>
      <c r="D593" s="693"/>
      <c r="E593" s="693"/>
      <c r="F593" s="693"/>
      <c r="G593" s="693"/>
      <c r="H593" s="693"/>
      <c r="I593" s="693"/>
      <c r="J593" s="693"/>
      <c r="K593" s="693"/>
      <c r="L593" s="693"/>
      <c r="M593" s="693"/>
      <c r="N593" s="693"/>
      <c r="O593" s="693"/>
      <c r="P593" s="693"/>
      <c r="Q593" s="693"/>
    </row>
    <row r="594" spans="1:17" ht="13.5">
      <c r="A594" s="693"/>
      <c r="B594" s="693"/>
      <c r="C594" s="693"/>
      <c r="D594" s="693"/>
      <c r="E594" s="693"/>
      <c r="F594" s="693"/>
      <c r="G594" s="693"/>
      <c r="H594" s="693"/>
      <c r="I594" s="693"/>
      <c r="J594" s="693"/>
      <c r="K594" s="693"/>
      <c r="L594" s="693"/>
      <c r="M594" s="693"/>
      <c r="N594" s="693"/>
      <c r="O594" s="693"/>
      <c r="P594" s="693"/>
      <c r="Q594" s="693"/>
    </row>
    <row r="595" spans="1:17" ht="13.5">
      <c r="A595" s="693"/>
      <c r="B595" s="693"/>
      <c r="C595" s="693"/>
      <c r="D595" s="693"/>
      <c r="E595" s="693"/>
      <c r="F595" s="693"/>
      <c r="G595" s="693"/>
      <c r="H595" s="693"/>
      <c r="I595" s="693"/>
      <c r="J595" s="693"/>
      <c r="K595" s="693"/>
      <c r="L595" s="693"/>
      <c r="M595" s="693"/>
      <c r="N595" s="693"/>
      <c r="O595" s="693"/>
      <c r="P595" s="693"/>
      <c r="Q595" s="693"/>
    </row>
    <row r="596" spans="1:17" ht="13.5">
      <c r="A596" s="693"/>
      <c r="B596" s="693"/>
      <c r="C596" s="693"/>
      <c r="D596" s="693"/>
      <c r="E596" s="693"/>
      <c r="F596" s="693"/>
      <c r="G596" s="693"/>
      <c r="H596" s="693"/>
      <c r="I596" s="693"/>
      <c r="J596" s="693"/>
      <c r="K596" s="693"/>
      <c r="L596" s="693"/>
      <c r="M596" s="693"/>
      <c r="N596" s="693"/>
      <c r="O596" s="693"/>
      <c r="P596" s="693"/>
      <c r="Q596" s="693"/>
    </row>
    <row r="597" spans="1:17" ht="13.5">
      <c r="A597" s="693"/>
      <c r="B597" s="693"/>
      <c r="C597" s="693"/>
      <c r="D597" s="693"/>
      <c r="E597" s="693"/>
      <c r="F597" s="693"/>
      <c r="G597" s="693"/>
      <c r="H597" s="693"/>
      <c r="I597" s="693"/>
      <c r="J597" s="693"/>
      <c r="K597" s="693"/>
      <c r="L597" s="693"/>
      <c r="M597" s="693"/>
      <c r="N597" s="693"/>
      <c r="O597" s="693"/>
      <c r="P597" s="693"/>
      <c r="Q597" s="693"/>
    </row>
    <row r="598" spans="1:17" ht="13.5">
      <c r="A598" s="693"/>
      <c r="B598" s="693"/>
      <c r="C598" s="693"/>
      <c r="D598" s="693"/>
      <c r="E598" s="693"/>
      <c r="F598" s="693"/>
      <c r="G598" s="693"/>
      <c r="H598" s="693"/>
      <c r="I598" s="693"/>
      <c r="J598" s="693"/>
      <c r="K598" s="693"/>
      <c r="L598" s="693"/>
      <c r="M598" s="693"/>
      <c r="N598" s="693"/>
      <c r="O598" s="693"/>
      <c r="P598" s="693"/>
      <c r="Q598" s="693"/>
    </row>
    <row r="599" spans="1:17" ht="13.5">
      <c r="A599" s="693"/>
      <c r="B599" s="693"/>
      <c r="C599" s="693"/>
      <c r="D599" s="693"/>
      <c r="E599" s="693"/>
      <c r="F599" s="693"/>
      <c r="G599" s="693"/>
      <c r="H599" s="693"/>
      <c r="I599" s="693"/>
      <c r="J599" s="693"/>
      <c r="K599" s="693"/>
      <c r="L599" s="693"/>
      <c r="M599" s="693"/>
      <c r="N599" s="693"/>
      <c r="O599" s="693"/>
      <c r="P599" s="693"/>
      <c r="Q599" s="693"/>
    </row>
    <row r="600" spans="1:17" ht="13.5">
      <c r="A600" s="693"/>
      <c r="B600" s="693"/>
      <c r="C600" s="693"/>
      <c r="D600" s="693"/>
      <c r="E600" s="693"/>
      <c r="F600" s="693"/>
      <c r="G600" s="693"/>
      <c r="H600" s="693"/>
      <c r="I600" s="693"/>
      <c r="J600" s="693"/>
      <c r="K600" s="693"/>
      <c r="L600" s="693"/>
      <c r="M600" s="693"/>
      <c r="N600" s="693"/>
      <c r="O600" s="693"/>
      <c r="P600" s="693"/>
      <c r="Q600" s="693"/>
    </row>
    <row r="601" spans="1:17" ht="13.5">
      <c r="A601" s="693"/>
      <c r="B601" s="693"/>
      <c r="C601" s="693"/>
      <c r="D601" s="693"/>
      <c r="E601" s="693"/>
      <c r="F601" s="693"/>
      <c r="G601" s="693"/>
      <c r="H601" s="693"/>
      <c r="I601" s="693"/>
      <c r="J601" s="693"/>
      <c r="K601" s="693"/>
      <c r="L601" s="693"/>
      <c r="M601" s="693"/>
      <c r="N601" s="693"/>
      <c r="O601" s="693"/>
      <c r="P601" s="693"/>
      <c r="Q601" s="693"/>
    </row>
    <row r="602" spans="1:17" ht="13.5">
      <c r="A602" s="693"/>
      <c r="B602" s="693"/>
      <c r="C602" s="693"/>
      <c r="D602" s="693"/>
      <c r="E602" s="693"/>
      <c r="F602" s="693"/>
      <c r="G602" s="693"/>
      <c r="H602" s="693"/>
      <c r="I602" s="693"/>
      <c r="J602" s="693"/>
      <c r="K602" s="693"/>
      <c r="L602" s="693"/>
      <c r="M602" s="693"/>
      <c r="N602" s="693"/>
      <c r="O602" s="693"/>
      <c r="P602" s="693"/>
      <c r="Q602" s="693"/>
    </row>
    <row r="603" spans="1:17" ht="13.5">
      <c r="A603" s="693"/>
      <c r="B603" s="693"/>
      <c r="C603" s="693"/>
      <c r="D603" s="693"/>
      <c r="E603" s="693"/>
      <c r="F603" s="693"/>
      <c r="G603" s="693"/>
      <c r="H603" s="693"/>
      <c r="I603" s="693"/>
      <c r="J603" s="693"/>
      <c r="K603" s="693"/>
      <c r="L603" s="693"/>
      <c r="M603" s="693"/>
      <c r="N603" s="693"/>
      <c r="O603" s="693"/>
      <c r="P603" s="693"/>
      <c r="Q603" s="693"/>
    </row>
    <row r="604" spans="1:17" ht="13.5">
      <c r="A604" s="693"/>
      <c r="B604" s="693"/>
      <c r="C604" s="693"/>
      <c r="D604" s="693"/>
      <c r="E604" s="693"/>
      <c r="F604" s="693"/>
      <c r="G604" s="693"/>
      <c r="H604" s="693"/>
      <c r="I604" s="693"/>
      <c r="J604" s="693"/>
      <c r="K604" s="693"/>
      <c r="L604" s="693"/>
      <c r="M604" s="693"/>
      <c r="N604" s="693"/>
      <c r="O604" s="693"/>
      <c r="P604" s="693"/>
      <c r="Q604" s="693"/>
    </row>
    <row r="605" spans="1:17" ht="13.5">
      <c r="A605" s="693"/>
      <c r="B605" s="693"/>
      <c r="C605" s="693"/>
      <c r="D605" s="693"/>
      <c r="E605" s="693"/>
      <c r="F605" s="693"/>
      <c r="G605" s="693"/>
      <c r="H605" s="693"/>
      <c r="I605" s="693"/>
      <c r="J605" s="693"/>
      <c r="K605" s="693"/>
      <c r="L605" s="693"/>
      <c r="M605" s="693"/>
      <c r="N605" s="693"/>
      <c r="O605" s="693"/>
      <c r="P605" s="693"/>
      <c r="Q605" s="693"/>
    </row>
    <row r="606" spans="1:17" ht="13.5">
      <c r="A606" s="693"/>
      <c r="B606" s="693"/>
      <c r="C606" s="693"/>
      <c r="D606" s="693"/>
      <c r="E606" s="693"/>
      <c r="F606" s="693"/>
      <c r="G606" s="693"/>
      <c r="H606" s="693"/>
      <c r="I606" s="693"/>
      <c r="J606" s="693"/>
      <c r="K606" s="693"/>
      <c r="L606" s="693"/>
      <c r="M606" s="693"/>
      <c r="N606" s="693"/>
      <c r="O606" s="693"/>
      <c r="P606" s="693"/>
      <c r="Q606" s="693"/>
    </row>
    <row r="607" spans="1:17" ht="13.5">
      <c r="A607" s="693"/>
      <c r="B607" s="693"/>
      <c r="C607" s="693"/>
      <c r="D607" s="693"/>
      <c r="E607" s="693"/>
      <c r="F607" s="693"/>
      <c r="G607" s="693"/>
      <c r="H607" s="693"/>
      <c r="I607" s="693"/>
      <c r="J607" s="693"/>
      <c r="K607" s="693"/>
      <c r="L607" s="693"/>
      <c r="M607" s="693"/>
      <c r="N607" s="693"/>
      <c r="O607" s="693"/>
      <c r="P607" s="693"/>
      <c r="Q607" s="693"/>
    </row>
    <row r="608" spans="1:17" ht="13.5">
      <c r="A608" s="693"/>
      <c r="B608" s="693"/>
      <c r="C608" s="693"/>
      <c r="D608" s="693"/>
      <c r="E608" s="693"/>
      <c r="F608" s="693"/>
      <c r="G608" s="693"/>
      <c r="H608" s="693"/>
      <c r="I608" s="693"/>
      <c r="J608" s="693"/>
      <c r="K608" s="693"/>
      <c r="L608" s="693"/>
      <c r="M608" s="693"/>
      <c r="N608" s="693"/>
      <c r="O608" s="693"/>
      <c r="P608" s="693"/>
      <c r="Q608" s="693"/>
    </row>
    <row r="609" spans="1:17" ht="13.5">
      <c r="A609" s="693"/>
      <c r="B609" s="693"/>
      <c r="C609" s="693"/>
      <c r="D609" s="693"/>
      <c r="E609" s="693"/>
      <c r="F609" s="693"/>
      <c r="G609" s="693"/>
      <c r="H609" s="693"/>
      <c r="I609" s="693"/>
      <c r="J609" s="693"/>
      <c r="K609" s="693"/>
      <c r="L609" s="693"/>
      <c r="M609" s="693"/>
      <c r="N609" s="693"/>
      <c r="O609" s="693"/>
      <c r="P609" s="693"/>
      <c r="Q609" s="693"/>
    </row>
    <row r="610" spans="1:17" ht="13.5">
      <c r="A610" s="693"/>
      <c r="B610" s="693"/>
      <c r="C610" s="693"/>
      <c r="D610" s="693"/>
      <c r="E610" s="693"/>
      <c r="F610" s="693"/>
      <c r="G610" s="693"/>
      <c r="H610" s="693"/>
      <c r="I610" s="693"/>
      <c r="J610" s="693"/>
      <c r="K610" s="693"/>
      <c r="L610" s="693"/>
      <c r="M610" s="693"/>
      <c r="N610" s="693"/>
      <c r="O610" s="693"/>
      <c r="P610" s="693"/>
      <c r="Q610" s="693"/>
    </row>
    <row r="611" spans="1:17" ht="13.5">
      <c r="A611" s="693"/>
      <c r="B611" s="693"/>
      <c r="C611" s="693"/>
      <c r="D611" s="693"/>
      <c r="E611" s="693"/>
      <c r="F611" s="693"/>
      <c r="G611" s="693"/>
      <c r="H611" s="693"/>
      <c r="I611" s="693"/>
      <c r="J611" s="693"/>
      <c r="K611" s="693"/>
      <c r="L611" s="693"/>
      <c r="M611" s="693"/>
      <c r="N611" s="693"/>
      <c r="O611" s="693"/>
      <c r="P611" s="693"/>
      <c r="Q611" s="693"/>
    </row>
    <row r="612" spans="1:17" ht="13.5">
      <c r="A612" s="693"/>
      <c r="B612" s="693"/>
      <c r="C612" s="693"/>
      <c r="D612" s="693"/>
      <c r="E612" s="693"/>
      <c r="F612" s="693"/>
      <c r="G612" s="693"/>
      <c r="H612" s="693"/>
      <c r="I612" s="693"/>
      <c r="J612" s="693"/>
      <c r="K612" s="693"/>
      <c r="L612" s="693"/>
      <c r="M612" s="693"/>
      <c r="N612" s="693"/>
      <c r="O612" s="693"/>
      <c r="P612" s="693"/>
      <c r="Q612" s="693"/>
    </row>
    <row r="613" spans="1:17" ht="13.5">
      <c r="A613" s="693"/>
      <c r="B613" s="693"/>
      <c r="C613" s="693"/>
      <c r="D613" s="693"/>
      <c r="E613" s="693"/>
      <c r="F613" s="693"/>
      <c r="G613" s="693"/>
      <c r="H613" s="693"/>
      <c r="I613" s="693"/>
      <c r="J613" s="693"/>
      <c r="K613" s="693"/>
      <c r="L613" s="693"/>
      <c r="M613" s="693"/>
      <c r="N613" s="693"/>
      <c r="O613" s="693"/>
      <c r="P613" s="693"/>
      <c r="Q613" s="693"/>
    </row>
    <row r="614" spans="1:17" ht="13.5">
      <c r="A614" s="693"/>
      <c r="B614" s="693"/>
      <c r="C614" s="693"/>
      <c r="D614" s="693"/>
      <c r="E614" s="693"/>
      <c r="F614" s="693"/>
      <c r="G614" s="693"/>
      <c r="H614" s="693"/>
      <c r="I614" s="693"/>
      <c r="J614" s="693"/>
      <c r="K614" s="693"/>
      <c r="L614" s="693"/>
      <c r="M614" s="693"/>
      <c r="N614" s="693"/>
      <c r="O614" s="693"/>
      <c r="P614" s="693"/>
      <c r="Q614" s="693"/>
    </row>
    <row r="615" spans="1:17" ht="13.5">
      <c r="A615" s="693"/>
      <c r="B615" s="693"/>
      <c r="C615" s="693"/>
      <c r="D615" s="693"/>
      <c r="E615" s="693"/>
      <c r="F615" s="693"/>
      <c r="G615" s="693"/>
      <c r="H615" s="693"/>
      <c r="I615" s="693"/>
      <c r="J615" s="693"/>
      <c r="K615" s="693"/>
      <c r="L615" s="693"/>
      <c r="M615" s="693"/>
      <c r="N615" s="693"/>
      <c r="O615" s="693"/>
      <c r="P615" s="693"/>
      <c r="Q615" s="693"/>
    </row>
    <row r="616" spans="1:17" ht="13.5">
      <c r="A616" s="693"/>
      <c r="B616" s="693"/>
      <c r="C616" s="693"/>
      <c r="D616" s="693"/>
      <c r="E616" s="693"/>
      <c r="F616" s="693"/>
      <c r="G616" s="693"/>
      <c r="H616" s="693"/>
      <c r="I616" s="693"/>
      <c r="J616" s="693"/>
      <c r="K616" s="693"/>
      <c r="L616" s="693"/>
      <c r="M616" s="693"/>
      <c r="N616" s="693"/>
      <c r="O616" s="693"/>
      <c r="P616" s="693"/>
      <c r="Q616" s="693"/>
    </row>
    <row r="617" spans="1:17" ht="13.5">
      <c r="A617" s="693"/>
      <c r="B617" s="693"/>
      <c r="C617" s="693"/>
      <c r="D617" s="693"/>
      <c r="E617" s="693"/>
      <c r="F617" s="693"/>
      <c r="G617" s="693"/>
      <c r="H617" s="693"/>
      <c r="I617" s="693"/>
      <c r="J617" s="693"/>
      <c r="K617" s="693"/>
      <c r="L617" s="693"/>
      <c r="M617" s="693"/>
      <c r="N617" s="693"/>
      <c r="O617" s="693"/>
      <c r="P617" s="693"/>
      <c r="Q617" s="693"/>
    </row>
    <row r="618" spans="1:17" ht="13.5">
      <c r="A618" s="693"/>
      <c r="B618" s="693"/>
      <c r="C618" s="693"/>
      <c r="D618" s="693"/>
      <c r="E618" s="693"/>
      <c r="F618" s="693"/>
      <c r="G618" s="693"/>
      <c r="H618" s="693"/>
      <c r="I618" s="693"/>
      <c r="J618" s="693"/>
      <c r="K618" s="693"/>
      <c r="L618" s="693"/>
      <c r="M618" s="693"/>
      <c r="N618" s="693"/>
      <c r="O618" s="693"/>
      <c r="P618" s="693"/>
      <c r="Q618" s="693"/>
    </row>
    <row r="619" spans="1:17" ht="13.5">
      <c r="A619" s="693"/>
      <c r="B619" s="693"/>
      <c r="C619" s="693"/>
      <c r="D619" s="693"/>
      <c r="E619" s="693"/>
      <c r="F619" s="693"/>
      <c r="G619" s="693"/>
      <c r="H619" s="693"/>
      <c r="I619" s="693"/>
      <c r="J619" s="693"/>
      <c r="K619" s="693"/>
      <c r="L619" s="693"/>
      <c r="M619" s="693"/>
      <c r="N619" s="693"/>
      <c r="O619" s="693"/>
      <c r="P619" s="693"/>
      <c r="Q619" s="693"/>
    </row>
    <row r="620" spans="1:17" ht="13.5">
      <c r="A620" s="693"/>
      <c r="B620" s="693"/>
      <c r="C620" s="693"/>
      <c r="D620" s="693"/>
      <c r="E620" s="693"/>
      <c r="F620" s="693"/>
      <c r="G620" s="693"/>
      <c r="H620" s="693"/>
      <c r="I620" s="693"/>
      <c r="J620" s="693"/>
      <c r="K620" s="693"/>
      <c r="L620" s="693"/>
      <c r="M620" s="693"/>
      <c r="N620" s="693"/>
      <c r="O620" s="693"/>
      <c r="P620" s="693"/>
      <c r="Q620" s="693"/>
    </row>
    <row r="621" spans="1:17" ht="13.5">
      <c r="A621" s="693"/>
      <c r="B621" s="693"/>
      <c r="C621" s="693"/>
      <c r="D621" s="693"/>
      <c r="E621" s="693"/>
      <c r="F621" s="693"/>
      <c r="G621" s="693"/>
      <c r="H621" s="693"/>
      <c r="I621" s="693"/>
      <c r="J621" s="693"/>
      <c r="K621" s="693"/>
      <c r="L621" s="693"/>
      <c r="M621" s="693"/>
      <c r="N621" s="693"/>
      <c r="O621" s="693"/>
      <c r="P621" s="693"/>
      <c r="Q621" s="693"/>
    </row>
    <row r="622" spans="1:17" ht="13.5">
      <c r="A622" s="693"/>
      <c r="B622" s="693"/>
      <c r="C622" s="693"/>
      <c r="D622" s="693"/>
      <c r="E622" s="693"/>
      <c r="F622" s="693"/>
      <c r="G622" s="693"/>
      <c r="H622" s="693"/>
      <c r="I622" s="693"/>
      <c r="J622" s="693"/>
      <c r="K622" s="693"/>
      <c r="L622" s="693"/>
      <c r="M622" s="693"/>
      <c r="N622" s="693"/>
      <c r="O622" s="693"/>
      <c r="P622" s="693"/>
      <c r="Q622" s="693"/>
    </row>
    <row r="623" spans="1:17" ht="13.5">
      <c r="A623" s="693"/>
      <c r="B623" s="693"/>
      <c r="C623" s="693"/>
      <c r="D623" s="693"/>
      <c r="E623" s="693"/>
      <c r="F623" s="693"/>
      <c r="G623" s="693"/>
      <c r="H623" s="693"/>
      <c r="I623" s="693"/>
      <c r="J623" s="693"/>
      <c r="K623" s="693"/>
      <c r="L623" s="693"/>
      <c r="M623" s="693"/>
      <c r="N623" s="693"/>
      <c r="O623" s="693"/>
      <c r="P623" s="693"/>
      <c r="Q623" s="693"/>
    </row>
    <row r="624" spans="1:17" ht="13.5">
      <c r="A624" s="693"/>
      <c r="B624" s="693"/>
      <c r="C624" s="693"/>
      <c r="D624" s="693"/>
      <c r="E624" s="693"/>
      <c r="F624" s="693"/>
      <c r="G624" s="693"/>
      <c r="H624" s="693"/>
      <c r="I624" s="693"/>
      <c r="J624" s="693"/>
      <c r="K624" s="693"/>
      <c r="L624" s="693"/>
      <c r="M624" s="693"/>
      <c r="N624" s="693"/>
      <c r="O624" s="693"/>
      <c r="P624" s="693"/>
      <c r="Q624" s="693"/>
    </row>
    <row r="625" spans="1:17" ht="13.5">
      <c r="A625" s="693"/>
      <c r="B625" s="693"/>
      <c r="C625" s="693"/>
      <c r="D625" s="693"/>
      <c r="E625" s="693"/>
      <c r="F625" s="693"/>
      <c r="G625" s="693"/>
      <c r="H625" s="693"/>
      <c r="I625" s="693"/>
      <c r="J625" s="693"/>
      <c r="K625" s="693"/>
      <c r="L625" s="693"/>
      <c r="M625" s="693"/>
      <c r="N625" s="693"/>
      <c r="O625" s="693"/>
      <c r="P625" s="693"/>
      <c r="Q625" s="693"/>
    </row>
    <row r="626" spans="1:17" ht="13.5">
      <c r="A626" s="693"/>
      <c r="B626" s="693"/>
      <c r="C626" s="693"/>
      <c r="D626" s="693"/>
      <c r="E626" s="693"/>
      <c r="F626" s="693"/>
      <c r="G626" s="693"/>
      <c r="H626" s="693"/>
      <c r="I626" s="693"/>
      <c r="J626" s="693"/>
      <c r="K626" s="693"/>
      <c r="L626" s="693"/>
      <c r="M626" s="693"/>
      <c r="N626" s="693"/>
      <c r="O626" s="693"/>
      <c r="P626" s="693"/>
      <c r="Q626" s="693"/>
    </row>
    <row r="627" spans="1:17" ht="13.5">
      <c r="A627" s="693"/>
      <c r="B627" s="693"/>
      <c r="C627" s="693"/>
      <c r="D627" s="693"/>
      <c r="E627" s="693"/>
      <c r="F627" s="693"/>
      <c r="G627" s="693"/>
      <c r="H627" s="693"/>
      <c r="I627" s="693"/>
      <c r="J627" s="693"/>
      <c r="K627" s="693"/>
      <c r="L627" s="693"/>
      <c r="M627" s="693"/>
      <c r="N627" s="693"/>
      <c r="O627" s="693"/>
      <c r="P627" s="693"/>
      <c r="Q627" s="693"/>
    </row>
    <row r="628" spans="1:17" ht="13.5">
      <c r="A628" s="693"/>
      <c r="B628" s="693"/>
      <c r="C628" s="693"/>
      <c r="D628" s="693"/>
      <c r="E628" s="693"/>
      <c r="F628" s="693"/>
      <c r="G628" s="693"/>
      <c r="H628" s="693"/>
      <c r="I628" s="693"/>
      <c r="J628" s="693"/>
      <c r="K628" s="693"/>
      <c r="L628" s="693"/>
      <c r="M628" s="693"/>
      <c r="N628" s="693"/>
      <c r="O628" s="693"/>
      <c r="P628" s="693"/>
      <c r="Q628" s="693"/>
    </row>
    <row r="629" spans="1:17" ht="13.5">
      <c r="A629" s="693"/>
      <c r="B629" s="693"/>
      <c r="C629" s="693"/>
      <c r="D629" s="693"/>
      <c r="E629" s="693"/>
      <c r="F629" s="693"/>
      <c r="G629" s="693"/>
      <c r="H629" s="693"/>
      <c r="I629" s="693"/>
      <c r="J629" s="693"/>
      <c r="K629" s="693"/>
      <c r="L629" s="693"/>
      <c r="M629" s="693"/>
      <c r="N629" s="693"/>
      <c r="O629" s="693"/>
      <c r="P629" s="693"/>
      <c r="Q629" s="693"/>
    </row>
    <row r="630" spans="1:17" ht="13.5">
      <c r="A630" s="693"/>
      <c r="B630" s="693"/>
      <c r="C630" s="693"/>
      <c r="D630" s="693"/>
      <c r="E630" s="693"/>
      <c r="F630" s="693"/>
      <c r="G630" s="693"/>
      <c r="H630" s="693"/>
      <c r="I630" s="693"/>
      <c r="J630" s="693"/>
      <c r="K630" s="693"/>
      <c r="L630" s="693"/>
      <c r="M630" s="693"/>
      <c r="N630" s="693"/>
      <c r="O630" s="693"/>
      <c r="P630" s="693"/>
      <c r="Q630" s="693"/>
    </row>
    <row r="631" spans="1:17" ht="13.5">
      <c r="A631" s="693"/>
      <c r="B631" s="693"/>
      <c r="C631" s="693"/>
      <c r="D631" s="693"/>
      <c r="E631" s="693"/>
      <c r="F631" s="693"/>
      <c r="G631" s="693"/>
      <c r="H631" s="693"/>
      <c r="I631" s="693"/>
      <c r="J631" s="693"/>
      <c r="K631" s="693"/>
      <c r="L631" s="693"/>
      <c r="M631" s="693"/>
      <c r="N631" s="693"/>
      <c r="O631" s="693"/>
      <c r="P631" s="693"/>
      <c r="Q631" s="693"/>
    </row>
    <row r="632" spans="1:17" ht="13.5">
      <c r="A632" s="693"/>
      <c r="B632" s="693"/>
      <c r="C632" s="693"/>
      <c r="D632" s="693"/>
      <c r="E632" s="693"/>
      <c r="F632" s="693"/>
      <c r="G632" s="693"/>
      <c r="H632" s="693"/>
      <c r="I632" s="693"/>
      <c r="J632" s="693"/>
      <c r="K632" s="693"/>
      <c r="L632" s="693"/>
      <c r="M632" s="693"/>
      <c r="N632" s="693"/>
      <c r="O632" s="693"/>
      <c r="P632" s="693"/>
      <c r="Q632" s="693"/>
    </row>
    <row r="633" spans="1:17" ht="13.5">
      <c r="A633" s="693"/>
      <c r="B633" s="693"/>
      <c r="C633" s="693"/>
      <c r="D633" s="693"/>
      <c r="E633" s="693"/>
      <c r="F633" s="693"/>
      <c r="G633" s="693"/>
      <c r="H633" s="693"/>
      <c r="I633" s="693"/>
      <c r="J633" s="693"/>
      <c r="K633" s="693"/>
      <c r="L633" s="693"/>
      <c r="M633" s="693"/>
      <c r="N633" s="693"/>
      <c r="O633" s="693"/>
      <c r="P633" s="693"/>
      <c r="Q633" s="693"/>
    </row>
    <row r="634" spans="1:17" ht="13.5">
      <c r="A634" s="693"/>
      <c r="B634" s="693"/>
      <c r="C634" s="693"/>
      <c r="D634" s="693"/>
      <c r="E634" s="693"/>
      <c r="F634" s="693"/>
      <c r="G634" s="693"/>
      <c r="H634" s="693"/>
      <c r="I634" s="693"/>
      <c r="J634" s="693"/>
      <c r="K634" s="693"/>
      <c r="L634" s="693"/>
      <c r="M634" s="693"/>
      <c r="N634" s="693"/>
      <c r="O634" s="693"/>
      <c r="P634" s="693"/>
      <c r="Q634" s="693"/>
    </row>
    <row r="635" spans="1:17" ht="13.5">
      <c r="A635" s="693"/>
      <c r="B635" s="693"/>
      <c r="C635" s="693"/>
      <c r="D635" s="693"/>
      <c r="E635" s="693"/>
      <c r="F635" s="693"/>
      <c r="G635" s="693"/>
      <c r="H635" s="693"/>
      <c r="I635" s="693"/>
      <c r="J635" s="693"/>
      <c r="K635" s="693"/>
      <c r="L635" s="693"/>
      <c r="M635" s="693"/>
      <c r="N635" s="693"/>
      <c r="O635" s="693"/>
      <c r="P635" s="693"/>
      <c r="Q635" s="693"/>
    </row>
    <row r="636" spans="1:17" ht="13.5">
      <c r="A636" s="693"/>
      <c r="B636" s="693"/>
      <c r="C636" s="693"/>
      <c r="D636" s="693"/>
      <c r="E636" s="693"/>
      <c r="F636" s="693"/>
      <c r="G636" s="693"/>
      <c r="H636" s="693"/>
      <c r="I636" s="693"/>
      <c r="J636" s="693"/>
      <c r="K636" s="693"/>
      <c r="L636" s="693"/>
      <c r="M636" s="693"/>
      <c r="N636" s="693"/>
      <c r="O636" s="693"/>
      <c r="P636" s="693"/>
      <c r="Q636" s="693"/>
    </row>
    <row r="637" spans="1:17" ht="13.5">
      <c r="A637" s="693"/>
      <c r="B637" s="693"/>
      <c r="C637" s="693"/>
      <c r="D637" s="693"/>
      <c r="E637" s="693"/>
      <c r="F637" s="693"/>
      <c r="G637" s="693"/>
      <c r="H637" s="693"/>
      <c r="I637" s="693"/>
      <c r="J637" s="693"/>
      <c r="K637" s="693"/>
      <c r="L637" s="693"/>
      <c r="M637" s="693"/>
      <c r="N637" s="693"/>
      <c r="O637" s="693"/>
      <c r="P637" s="693"/>
      <c r="Q637" s="693"/>
    </row>
    <row r="638" spans="1:17" ht="13.5">
      <c r="A638" s="693"/>
      <c r="B638" s="693"/>
      <c r="C638" s="693"/>
      <c r="D638" s="693"/>
      <c r="E638" s="693"/>
      <c r="F638" s="693"/>
      <c r="G638" s="693"/>
      <c r="H638" s="693"/>
      <c r="I638" s="693"/>
      <c r="J638" s="693"/>
      <c r="K638" s="693"/>
      <c r="L638" s="693"/>
      <c r="M638" s="693"/>
      <c r="N638" s="693"/>
      <c r="O638" s="693"/>
      <c r="P638" s="693"/>
      <c r="Q638" s="693"/>
    </row>
    <row r="639" spans="1:17" ht="13.5">
      <c r="A639" s="693"/>
      <c r="B639" s="693"/>
      <c r="C639" s="693"/>
      <c r="D639" s="693"/>
      <c r="E639" s="693"/>
      <c r="F639" s="693"/>
      <c r="G639" s="693"/>
      <c r="H639" s="693"/>
      <c r="I639" s="693"/>
      <c r="J639" s="693"/>
      <c r="K639" s="693"/>
      <c r="L639" s="693"/>
      <c r="M639" s="693"/>
      <c r="N639" s="693"/>
      <c r="O639" s="693"/>
      <c r="P639" s="693"/>
      <c r="Q639" s="693"/>
    </row>
    <row r="640" spans="1:17" ht="13.5">
      <c r="A640" s="693"/>
      <c r="B640" s="693"/>
      <c r="C640" s="693"/>
      <c r="D640" s="693"/>
      <c r="E640" s="693"/>
      <c r="F640" s="693"/>
      <c r="G640" s="693"/>
      <c r="H640" s="693"/>
      <c r="I640" s="693"/>
      <c r="J640" s="693"/>
      <c r="K640" s="693"/>
      <c r="L640" s="693"/>
      <c r="M640" s="693"/>
      <c r="N640" s="693"/>
      <c r="O640" s="693"/>
      <c r="P640" s="693"/>
      <c r="Q640" s="693"/>
    </row>
    <row r="641" spans="1:17" ht="13.5">
      <c r="A641" s="693"/>
      <c r="B641" s="693"/>
      <c r="C641" s="693"/>
      <c r="D641" s="693"/>
      <c r="E641" s="693"/>
      <c r="F641" s="693"/>
      <c r="G641" s="693"/>
      <c r="H641" s="693"/>
      <c r="I641" s="693"/>
      <c r="J641" s="693"/>
      <c r="K641" s="693"/>
      <c r="L641" s="693"/>
      <c r="M641" s="693"/>
      <c r="N641" s="693"/>
      <c r="O641" s="693"/>
      <c r="P641" s="693"/>
      <c r="Q641" s="693"/>
    </row>
    <row r="642" spans="1:17" ht="13.5">
      <c r="A642" s="693"/>
      <c r="B642" s="693"/>
      <c r="C642" s="693"/>
      <c r="D642" s="693"/>
      <c r="E642" s="693"/>
      <c r="F642" s="693"/>
      <c r="G642" s="693"/>
      <c r="H642" s="693"/>
      <c r="I642" s="693"/>
      <c r="J642" s="693"/>
      <c r="K642" s="693"/>
      <c r="L642" s="693"/>
      <c r="M642" s="693"/>
      <c r="N642" s="693"/>
      <c r="O642" s="693"/>
      <c r="P642" s="693"/>
      <c r="Q642" s="693"/>
    </row>
    <row r="643" spans="1:17" ht="13.5">
      <c r="A643" s="693"/>
      <c r="B643" s="693"/>
      <c r="C643" s="693"/>
      <c r="D643" s="693"/>
      <c r="E643" s="693"/>
      <c r="F643" s="693"/>
      <c r="G643" s="693"/>
      <c r="H643" s="693"/>
      <c r="I643" s="693"/>
      <c r="J643" s="693"/>
      <c r="K643" s="693"/>
      <c r="L643" s="693"/>
      <c r="M643" s="693"/>
      <c r="N643" s="693"/>
      <c r="O643" s="693"/>
      <c r="P643" s="693"/>
      <c r="Q643" s="693"/>
    </row>
    <row r="644" spans="1:17" ht="13.5">
      <c r="A644" s="693"/>
      <c r="B644" s="693"/>
      <c r="C644" s="693"/>
      <c r="D644" s="693"/>
      <c r="E644" s="693"/>
      <c r="F644" s="693"/>
      <c r="G644" s="693"/>
      <c r="H644" s="693"/>
      <c r="I644" s="693"/>
      <c r="J644" s="693"/>
      <c r="K644" s="693"/>
      <c r="L644" s="693"/>
      <c r="M644" s="693"/>
      <c r="N644" s="693"/>
      <c r="O644" s="693"/>
      <c r="P644" s="693"/>
      <c r="Q644" s="693"/>
    </row>
    <row r="645" spans="1:17" ht="13.5">
      <c r="A645" s="693"/>
      <c r="B645" s="693"/>
      <c r="C645" s="693"/>
      <c r="D645" s="693"/>
      <c r="E645" s="693"/>
      <c r="F645" s="693"/>
      <c r="G645" s="693"/>
      <c r="H645" s="693"/>
      <c r="I645" s="693"/>
      <c r="J645" s="693"/>
      <c r="K645" s="693"/>
      <c r="L645" s="693"/>
      <c r="M645" s="693"/>
      <c r="N645" s="693"/>
      <c r="O645" s="693"/>
      <c r="P645" s="693"/>
      <c r="Q645" s="693"/>
    </row>
    <row r="646" spans="1:17" ht="13.5">
      <c r="A646" s="693"/>
      <c r="B646" s="693"/>
      <c r="C646" s="693"/>
      <c r="D646" s="693"/>
      <c r="E646" s="693"/>
      <c r="F646" s="693"/>
      <c r="G646" s="693"/>
      <c r="H646" s="693"/>
      <c r="I646" s="693"/>
      <c r="J646" s="693"/>
      <c r="K646" s="693"/>
      <c r="L646" s="693"/>
      <c r="M646" s="693"/>
      <c r="N646" s="693"/>
      <c r="O646" s="693"/>
      <c r="P646" s="693"/>
      <c r="Q646" s="693"/>
    </row>
    <row r="647" spans="1:17" ht="13.5">
      <c r="A647" s="693"/>
      <c r="B647" s="693"/>
      <c r="C647" s="693"/>
      <c r="D647" s="693"/>
      <c r="E647" s="693"/>
      <c r="F647" s="693"/>
      <c r="G647" s="693"/>
      <c r="H647" s="693"/>
      <c r="I647" s="693"/>
      <c r="J647" s="693"/>
      <c r="K647" s="693"/>
      <c r="L647" s="693"/>
      <c r="M647" s="693"/>
      <c r="N647" s="693"/>
      <c r="O647" s="693"/>
      <c r="P647" s="693"/>
      <c r="Q647" s="693"/>
    </row>
    <row r="648" spans="1:17" ht="13.5">
      <c r="A648" s="693"/>
      <c r="B648" s="693"/>
      <c r="C648" s="693"/>
      <c r="D648" s="693"/>
      <c r="E648" s="693"/>
      <c r="F648" s="693"/>
      <c r="G648" s="693"/>
      <c r="H648" s="693"/>
      <c r="I648" s="693"/>
      <c r="J648" s="693"/>
      <c r="K648" s="693"/>
      <c r="L648" s="693"/>
      <c r="M648" s="693"/>
      <c r="N648" s="693"/>
      <c r="O648" s="693"/>
      <c r="P648" s="693"/>
      <c r="Q648" s="693"/>
    </row>
    <row r="649" spans="1:17" ht="13.5">
      <c r="A649" s="693"/>
      <c r="B649" s="693"/>
      <c r="C649" s="693"/>
      <c r="D649" s="693"/>
      <c r="E649" s="693"/>
      <c r="F649" s="693"/>
      <c r="G649" s="693"/>
      <c r="H649" s="693"/>
      <c r="I649" s="693"/>
      <c r="J649" s="693"/>
      <c r="K649" s="693"/>
      <c r="L649" s="693"/>
      <c r="M649" s="693"/>
      <c r="N649" s="693"/>
      <c r="O649" s="693"/>
      <c r="P649" s="693"/>
      <c r="Q649" s="693"/>
    </row>
    <row r="650" spans="1:17" ht="13.5">
      <c r="A650" s="693"/>
      <c r="B650" s="693"/>
      <c r="C650" s="693"/>
      <c r="D650" s="693"/>
      <c r="E650" s="693"/>
      <c r="F650" s="693"/>
      <c r="G650" s="693"/>
      <c r="H650" s="693"/>
      <c r="I650" s="693"/>
      <c r="J650" s="693"/>
      <c r="K650" s="693"/>
      <c r="L650" s="693"/>
      <c r="M650" s="693"/>
      <c r="N650" s="693"/>
      <c r="O650" s="693"/>
      <c r="P650" s="693"/>
      <c r="Q650" s="693"/>
    </row>
    <row r="651" spans="1:17" ht="13.5">
      <c r="A651" s="693"/>
      <c r="B651" s="693"/>
      <c r="C651" s="693"/>
      <c r="D651" s="693"/>
      <c r="E651" s="693"/>
      <c r="F651" s="693"/>
      <c r="G651" s="693"/>
      <c r="H651" s="693"/>
      <c r="I651" s="693"/>
      <c r="J651" s="693"/>
      <c r="K651" s="693"/>
      <c r="L651" s="693"/>
      <c r="M651" s="693"/>
      <c r="N651" s="693"/>
      <c r="O651" s="693"/>
      <c r="P651" s="693"/>
      <c r="Q651" s="693"/>
    </row>
    <row r="652" spans="1:17" ht="13.5">
      <c r="A652" s="693"/>
      <c r="B652" s="693"/>
      <c r="C652" s="693"/>
      <c r="D652" s="693"/>
      <c r="E652" s="693"/>
      <c r="F652" s="693"/>
      <c r="G652" s="693"/>
      <c r="H652" s="693"/>
      <c r="I652" s="693"/>
      <c r="J652" s="693"/>
      <c r="K652" s="693"/>
      <c r="L652" s="693"/>
      <c r="M652" s="693"/>
      <c r="N652" s="693"/>
      <c r="O652" s="693"/>
      <c r="P652" s="693"/>
      <c r="Q652" s="693"/>
    </row>
    <row r="653" spans="1:17" ht="13.5">
      <c r="A653" s="693"/>
      <c r="B653" s="693"/>
      <c r="C653" s="693"/>
      <c r="D653" s="693"/>
      <c r="E653" s="693"/>
      <c r="F653" s="693"/>
      <c r="G653" s="693"/>
      <c r="H653" s="693"/>
      <c r="I653" s="693"/>
      <c r="J653" s="693"/>
      <c r="K653" s="693"/>
      <c r="L653" s="693"/>
      <c r="M653" s="693"/>
      <c r="N653" s="693"/>
      <c r="O653" s="693"/>
      <c r="P653" s="693"/>
      <c r="Q653" s="693"/>
    </row>
    <row r="654" spans="1:17" ht="13.5">
      <c r="A654" s="693"/>
      <c r="B654" s="693"/>
      <c r="C654" s="693"/>
      <c r="D654" s="693"/>
      <c r="E654" s="693"/>
      <c r="F654" s="693"/>
      <c r="G654" s="693"/>
      <c r="H654" s="693"/>
      <c r="I654" s="693"/>
      <c r="J654" s="693"/>
      <c r="K654" s="693"/>
      <c r="L654" s="693"/>
      <c r="M654" s="693"/>
      <c r="N654" s="693"/>
      <c r="O654" s="693"/>
      <c r="P654" s="693"/>
      <c r="Q654" s="693"/>
    </row>
    <row r="655" spans="1:17" ht="13.5">
      <c r="A655" s="693"/>
      <c r="B655" s="693"/>
      <c r="C655" s="693"/>
      <c r="D655" s="693"/>
      <c r="E655" s="693"/>
      <c r="F655" s="693"/>
      <c r="G655" s="693"/>
      <c r="H655" s="693"/>
      <c r="I655" s="693"/>
      <c r="J655" s="693"/>
      <c r="K655" s="693"/>
      <c r="L655" s="693"/>
      <c r="M655" s="693"/>
      <c r="N655" s="693"/>
      <c r="O655" s="693"/>
      <c r="P655" s="693"/>
      <c r="Q655" s="693"/>
    </row>
    <row r="656" spans="1:17" ht="13.5">
      <c r="A656" s="693"/>
      <c r="B656" s="693"/>
      <c r="C656" s="693"/>
      <c r="D656" s="693"/>
      <c r="E656" s="693"/>
      <c r="F656" s="693"/>
      <c r="G656" s="693"/>
      <c r="H656" s="693"/>
      <c r="I656" s="693"/>
      <c r="J656" s="693"/>
      <c r="K656" s="693"/>
      <c r="L656" s="693"/>
      <c r="M656" s="693"/>
      <c r="N656" s="693"/>
      <c r="O656" s="693"/>
      <c r="P656" s="693"/>
      <c r="Q656" s="693"/>
    </row>
    <row r="657" spans="1:17" ht="13.5">
      <c r="A657" s="693"/>
      <c r="B657" s="693"/>
      <c r="C657" s="693"/>
      <c r="D657" s="693"/>
      <c r="E657" s="693"/>
      <c r="F657" s="693"/>
      <c r="G657" s="693"/>
      <c r="H657" s="693"/>
      <c r="I657" s="693"/>
      <c r="J657" s="693"/>
      <c r="K657" s="693"/>
      <c r="L657" s="693"/>
      <c r="M657" s="693"/>
      <c r="N657" s="693"/>
      <c r="O657" s="693"/>
      <c r="P657" s="693"/>
      <c r="Q657" s="693"/>
    </row>
    <row r="658" spans="1:17" ht="13.5">
      <c r="A658" s="693"/>
      <c r="B658" s="693"/>
      <c r="C658" s="693"/>
      <c r="D658" s="693"/>
      <c r="E658" s="693"/>
      <c r="F658" s="693"/>
      <c r="G658" s="693"/>
      <c r="H658" s="693"/>
      <c r="I658" s="693"/>
      <c r="J658" s="693"/>
      <c r="K658" s="693"/>
      <c r="L658" s="693"/>
      <c r="M658" s="693"/>
      <c r="N658" s="693"/>
      <c r="O658" s="693"/>
      <c r="P658" s="693"/>
      <c r="Q658" s="693"/>
    </row>
    <row r="659" spans="1:17" ht="13.5">
      <c r="A659" s="693"/>
      <c r="B659" s="693"/>
      <c r="C659" s="693"/>
      <c r="D659" s="693"/>
      <c r="E659" s="693"/>
      <c r="F659" s="693"/>
      <c r="G659" s="693"/>
      <c r="H659" s="693"/>
      <c r="I659" s="693"/>
      <c r="J659" s="693"/>
      <c r="K659" s="693"/>
      <c r="L659" s="693"/>
      <c r="M659" s="693"/>
      <c r="N659" s="693"/>
      <c r="O659" s="693"/>
      <c r="P659" s="693"/>
      <c r="Q659" s="693"/>
    </row>
    <row r="660" spans="1:17" ht="13.5">
      <c r="A660" s="693"/>
      <c r="B660" s="693"/>
      <c r="C660" s="693"/>
      <c r="D660" s="693"/>
      <c r="E660" s="693"/>
      <c r="F660" s="693"/>
      <c r="G660" s="693"/>
      <c r="H660" s="693"/>
      <c r="I660" s="693"/>
      <c r="J660" s="693"/>
      <c r="K660" s="693"/>
      <c r="L660" s="693"/>
      <c r="M660" s="693"/>
      <c r="N660" s="693"/>
      <c r="O660" s="693"/>
      <c r="P660" s="693"/>
      <c r="Q660" s="693"/>
    </row>
    <row r="661" spans="1:17" ht="13.5">
      <c r="A661" s="693"/>
      <c r="B661" s="693"/>
      <c r="C661" s="693"/>
      <c r="D661" s="693"/>
      <c r="E661" s="693"/>
      <c r="F661" s="693"/>
      <c r="G661" s="693"/>
      <c r="H661" s="693"/>
      <c r="I661" s="693"/>
      <c r="J661" s="693"/>
      <c r="K661" s="693"/>
      <c r="L661" s="693"/>
      <c r="M661" s="693"/>
      <c r="N661" s="693"/>
      <c r="O661" s="693"/>
      <c r="P661" s="693"/>
      <c r="Q661" s="693"/>
    </row>
    <row r="662" spans="1:17" ht="13.5">
      <c r="A662" s="693"/>
      <c r="B662" s="693"/>
      <c r="C662" s="693"/>
      <c r="D662" s="693"/>
      <c r="E662" s="693"/>
      <c r="F662" s="693"/>
      <c r="G662" s="693"/>
      <c r="H662" s="693"/>
      <c r="I662" s="693"/>
      <c r="J662" s="693"/>
      <c r="K662" s="693"/>
      <c r="L662" s="693"/>
      <c r="M662" s="693"/>
      <c r="N662" s="693"/>
      <c r="O662" s="693"/>
      <c r="P662" s="693"/>
      <c r="Q662" s="693"/>
    </row>
    <row r="663" spans="1:17" ht="13.5">
      <c r="A663" s="693"/>
      <c r="B663" s="693"/>
      <c r="C663" s="693"/>
      <c r="D663" s="693"/>
      <c r="E663" s="693"/>
      <c r="F663" s="693"/>
      <c r="G663" s="693"/>
      <c r="H663" s="693"/>
      <c r="I663" s="693"/>
      <c r="J663" s="693"/>
      <c r="K663" s="693"/>
      <c r="L663" s="693"/>
      <c r="M663" s="693"/>
      <c r="N663" s="693"/>
      <c r="O663" s="693"/>
      <c r="P663" s="693"/>
      <c r="Q663" s="693"/>
    </row>
    <row r="664" spans="1:17" ht="13.5">
      <c r="A664" s="693"/>
      <c r="B664" s="693"/>
      <c r="C664" s="693"/>
      <c r="D664" s="693"/>
      <c r="E664" s="693"/>
      <c r="F664" s="693"/>
      <c r="G664" s="693"/>
      <c r="H664" s="693"/>
      <c r="I664" s="693"/>
      <c r="J664" s="693"/>
      <c r="K664" s="693"/>
      <c r="L664" s="693"/>
      <c r="M664" s="693"/>
      <c r="N664" s="693"/>
      <c r="O664" s="693"/>
      <c r="P664" s="693"/>
      <c r="Q664" s="693"/>
    </row>
    <row r="665" spans="1:17" ht="13.5">
      <c r="A665" s="693"/>
      <c r="B665" s="693"/>
      <c r="C665" s="693"/>
      <c r="D665" s="693"/>
      <c r="E665" s="693"/>
      <c r="F665" s="693"/>
      <c r="G665" s="693"/>
      <c r="H665" s="693"/>
      <c r="I665" s="693"/>
      <c r="J665" s="693"/>
      <c r="K665" s="693"/>
      <c r="L665" s="693"/>
      <c r="M665" s="693"/>
      <c r="N665" s="693"/>
      <c r="O665" s="693"/>
      <c r="P665" s="693"/>
      <c r="Q665" s="693"/>
    </row>
    <row r="666" spans="1:17" ht="13.5">
      <c r="A666" s="693"/>
      <c r="B666" s="693"/>
      <c r="C666" s="693"/>
      <c r="D666" s="693"/>
      <c r="E666" s="693"/>
      <c r="F666" s="693"/>
      <c r="G666" s="693"/>
      <c r="H666" s="693"/>
      <c r="I666" s="693"/>
      <c r="J666" s="693"/>
      <c r="K666" s="693"/>
      <c r="L666" s="693"/>
      <c r="M666" s="693"/>
      <c r="N666" s="693"/>
      <c r="O666" s="693"/>
      <c r="P666" s="693"/>
      <c r="Q666" s="693"/>
    </row>
    <row r="667" spans="1:17" ht="13.5">
      <c r="A667" s="693"/>
      <c r="B667" s="693"/>
      <c r="C667" s="693"/>
      <c r="D667" s="693"/>
      <c r="E667" s="693"/>
      <c r="F667" s="693"/>
      <c r="G667" s="693"/>
      <c r="H667" s="693"/>
      <c r="I667" s="693"/>
      <c r="J667" s="693"/>
      <c r="K667" s="693"/>
      <c r="L667" s="693"/>
      <c r="M667" s="693"/>
      <c r="N667" s="693"/>
      <c r="O667" s="693"/>
      <c r="P667" s="693"/>
      <c r="Q667" s="693"/>
    </row>
    <row r="668" spans="1:17" ht="13.5">
      <c r="A668" s="693"/>
      <c r="B668" s="693"/>
      <c r="C668" s="693"/>
      <c r="D668" s="693"/>
      <c r="E668" s="693"/>
      <c r="F668" s="693"/>
      <c r="G668" s="693"/>
      <c r="H668" s="693"/>
      <c r="I668" s="693"/>
      <c r="J668" s="693"/>
      <c r="K668" s="693"/>
      <c r="L668" s="693"/>
      <c r="M668" s="693"/>
      <c r="N668" s="693"/>
      <c r="O668" s="693"/>
      <c r="P668" s="693"/>
      <c r="Q668" s="693"/>
    </row>
    <row r="669" spans="1:17" ht="13.5">
      <c r="A669" s="693"/>
      <c r="B669" s="693"/>
      <c r="C669" s="693"/>
      <c r="D669" s="693"/>
      <c r="E669" s="693"/>
      <c r="F669" s="693"/>
      <c r="G669" s="693"/>
      <c r="H669" s="693"/>
      <c r="I669" s="693"/>
      <c r="J669" s="693"/>
      <c r="K669" s="693"/>
      <c r="L669" s="693"/>
      <c r="M669" s="693"/>
      <c r="N669" s="693"/>
      <c r="O669" s="693"/>
      <c r="P669" s="693"/>
      <c r="Q669" s="693"/>
    </row>
    <row r="670" spans="1:17" ht="13.5">
      <c r="A670" s="693"/>
      <c r="B670" s="693"/>
      <c r="C670" s="693"/>
      <c r="D670" s="693"/>
      <c r="E670" s="693"/>
      <c r="F670" s="693"/>
      <c r="G670" s="693"/>
      <c r="H670" s="693"/>
      <c r="I670" s="693"/>
      <c r="J670" s="693"/>
      <c r="K670" s="693"/>
      <c r="L670" s="693"/>
      <c r="M670" s="693"/>
      <c r="N670" s="693"/>
      <c r="O670" s="693"/>
      <c r="P670" s="693"/>
      <c r="Q670" s="693"/>
    </row>
    <row r="671" spans="1:17" ht="13.5">
      <c r="A671" s="693"/>
      <c r="B671" s="693"/>
      <c r="C671" s="693"/>
      <c r="D671" s="693"/>
      <c r="E671" s="693"/>
      <c r="F671" s="693"/>
      <c r="G671" s="693"/>
      <c r="H671" s="693"/>
      <c r="I671" s="693"/>
      <c r="J671" s="693"/>
      <c r="K671" s="693"/>
      <c r="L671" s="693"/>
      <c r="M671" s="693"/>
      <c r="N671" s="693"/>
      <c r="O671" s="693"/>
      <c r="P671" s="693"/>
      <c r="Q671" s="693"/>
    </row>
    <row r="672" spans="1:17" ht="13.5">
      <c r="A672" s="693"/>
      <c r="B672" s="693"/>
      <c r="C672" s="693"/>
      <c r="D672" s="693"/>
      <c r="E672" s="693"/>
      <c r="F672" s="693"/>
      <c r="G672" s="693"/>
      <c r="H672" s="693"/>
      <c r="I672" s="693"/>
      <c r="J672" s="693"/>
      <c r="K672" s="693"/>
      <c r="L672" s="693"/>
      <c r="M672" s="693"/>
      <c r="N672" s="693"/>
      <c r="O672" s="693"/>
      <c r="P672" s="693"/>
      <c r="Q672" s="693"/>
    </row>
    <row r="673" spans="1:17" ht="13.5">
      <c r="A673" s="693"/>
      <c r="B673" s="693"/>
      <c r="C673" s="693"/>
      <c r="D673" s="693"/>
      <c r="E673" s="693"/>
      <c r="F673" s="693"/>
      <c r="G673" s="693"/>
      <c r="H673" s="693"/>
      <c r="I673" s="693"/>
      <c r="J673" s="693"/>
      <c r="K673" s="693"/>
      <c r="L673" s="693"/>
      <c r="M673" s="693"/>
      <c r="N673" s="693"/>
      <c r="O673" s="693"/>
      <c r="P673" s="693"/>
      <c r="Q673" s="693"/>
    </row>
    <row r="674" spans="1:17" ht="13.5">
      <c r="A674" s="693"/>
      <c r="B674" s="693"/>
      <c r="C674" s="693"/>
      <c r="D674" s="693"/>
      <c r="E674" s="693"/>
      <c r="F674" s="693"/>
      <c r="G674" s="693"/>
      <c r="H674" s="693"/>
      <c r="I674" s="693"/>
      <c r="J674" s="693"/>
      <c r="K674" s="693"/>
      <c r="L674" s="693"/>
      <c r="M674" s="693"/>
      <c r="N674" s="693"/>
      <c r="O674" s="693"/>
      <c r="P674" s="693"/>
      <c r="Q674" s="693"/>
    </row>
    <row r="675" spans="1:17" ht="13.5">
      <c r="A675" s="693"/>
      <c r="B675" s="693"/>
      <c r="C675" s="693"/>
      <c r="D675" s="693"/>
      <c r="E675" s="693"/>
      <c r="F675" s="693"/>
      <c r="G675" s="693"/>
      <c r="H675" s="693"/>
      <c r="I675" s="693"/>
      <c r="J675" s="693"/>
      <c r="K675" s="693"/>
      <c r="L675" s="693"/>
      <c r="M675" s="693"/>
      <c r="N675" s="693"/>
      <c r="O675" s="693"/>
      <c r="P675" s="693"/>
      <c r="Q675" s="693"/>
    </row>
    <row r="676" spans="1:17" ht="13.5">
      <c r="A676" s="693"/>
      <c r="B676" s="693"/>
      <c r="C676" s="693"/>
      <c r="D676" s="693"/>
      <c r="E676" s="693"/>
      <c r="F676" s="693"/>
      <c r="G676" s="693"/>
      <c r="H676" s="693"/>
      <c r="I676" s="693"/>
      <c r="J676" s="693"/>
      <c r="K676" s="693"/>
      <c r="L676" s="693"/>
      <c r="M676" s="693"/>
      <c r="N676" s="693"/>
      <c r="O676" s="693"/>
      <c r="P676" s="693"/>
      <c r="Q676" s="693"/>
    </row>
    <row r="677" spans="1:17" ht="13.5">
      <c r="A677" s="693"/>
      <c r="B677" s="693"/>
      <c r="C677" s="693"/>
      <c r="D677" s="693"/>
      <c r="E677" s="693"/>
      <c r="F677" s="693"/>
      <c r="G677" s="693"/>
      <c r="H677" s="693"/>
      <c r="I677" s="693"/>
      <c r="J677" s="693"/>
      <c r="K677" s="693"/>
      <c r="L677" s="693"/>
      <c r="M677" s="693"/>
      <c r="N677" s="693"/>
      <c r="O677" s="693"/>
      <c r="P677" s="693"/>
      <c r="Q677" s="693"/>
    </row>
    <row r="678" spans="1:17" ht="13.5">
      <c r="A678" s="693"/>
      <c r="B678" s="693"/>
      <c r="C678" s="693"/>
      <c r="D678" s="693"/>
      <c r="E678" s="693"/>
      <c r="F678" s="693"/>
      <c r="G678" s="693"/>
      <c r="H678" s="693"/>
      <c r="I678" s="693"/>
      <c r="J678" s="693"/>
      <c r="K678" s="693"/>
      <c r="L678" s="693"/>
      <c r="M678" s="693"/>
      <c r="N678" s="693"/>
      <c r="O678" s="693"/>
      <c r="P678" s="693"/>
      <c r="Q678" s="693"/>
    </row>
    <row r="679" spans="1:17" ht="13.5">
      <c r="A679" s="693"/>
      <c r="B679" s="693"/>
      <c r="C679" s="693"/>
      <c r="D679" s="693"/>
      <c r="E679" s="693"/>
      <c r="F679" s="693"/>
      <c r="G679" s="693"/>
      <c r="H679" s="693"/>
      <c r="I679" s="693"/>
      <c r="J679" s="693"/>
      <c r="K679" s="693"/>
      <c r="L679" s="693"/>
      <c r="M679" s="693"/>
      <c r="N679" s="693"/>
      <c r="O679" s="693"/>
      <c r="P679" s="693"/>
      <c r="Q679" s="693"/>
    </row>
    <row r="680" spans="1:17" ht="13.5">
      <c r="A680" s="693"/>
      <c r="B680" s="693"/>
      <c r="C680" s="693"/>
      <c r="D680" s="693"/>
      <c r="E680" s="693"/>
      <c r="F680" s="693"/>
      <c r="G680" s="693"/>
      <c r="H680" s="693"/>
      <c r="I680" s="693"/>
      <c r="J680" s="693"/>
      <c r="K680" s="693"/>
      <c r="L680" s="693"/>
      <c r="M680" s="693"/>
      <c r="N680" s="693"/>
      <c r="O680" s="693"/>
      <c r="P680" s="693"/>
      <c r="Q680" s="693"/>
    </row>
    <row r="681" spans="1:17" ht="13.5">
      <c r="A681" s="693"/>
      <c r="B681" s="693"/>
      <c r="C681" s="693"/>
      <c r="D681" s="693"/>
      <c r="E681" s="693"/>
      <c r="F681" s="693"/>
      <c r="G681" s="693"/>
      <c r="H681" s="693"/>
      <c r="I681" s="693"/>
      <c r="J681" s="693"/>
      <c r="K681" s="693"/>
      <c r="L681" s="693"/>
      <c r="M681" s="693"/>
      <c r="N681" s="693"/>
      <c r="O681" s="693"/>
      <c r="P681" s="693"/>
      <c r="Q681" s="693"/>
    </row>
    <row r="682" spans="1:17" ht="13.5">
      <c r="A682" s="693"/>
      <c r="B682" s="693"/>
      <c r="C682" s="693"/>
      <c r="D682" s="693"/>
      <c r="E682" s="693"/>
      <c r="F682" s="693"/>
      <c r="G682" s="693"/>
      <c r="H682" s="693"/>
      <c r="I682" s="693"/>
      <c r="J682" s="693"/>
      <c r="K682" s="693"/>
      <c r="L682" s="693"/>
      <c r="M682" s="693"/>
      <c r="N682" s="693"/>
      <c r="O682" s="693"/>
      <c r="P682" s="693"/>
      <c r="Q682" s="693"/>
    </row>
    <row r="683" spans="1:17" ht="13.5">
      <c r="A683" s="693"/>
      <c r="B683" s="693"/>
      <c r="C683" s="693"/>
      <c r="D683" s="693"/>
      <c r="E683" s="693"/>
      <c r="F683" s="693"/>
      <c r="G683" s="693"/>
      <c r="H683" s="693"/>
      <c r="I683" s="693"/>
      <c r="J683" s="693"/>
      <c r="K683" s="693"/>
      <c r="L683" s="693"/>
      <c r="M683" s="693"/>
      <c r="N683" s="693"/>
      <c r="O683" s="693"/>
      <c r="P683" s="693"/>
      <c r="Q683" s="693"/>
    </row>
    <row r="684" spans="1:17" ht="13.5">
      <c r="A684" s="693"/>
      <c r="B684" s="693"/>
      <c r="C684" s="693"/>
      <c r="D684" s="693"/>
      <c r="E684" s="693"/>
      <c r="F684" s="693"/>
      <c r="G684" s="693"/>
      <c r="H684" s="693"/>
      <c r="I684" s="693"/>
      <c r="J684" s="693"/>
      <c r="K684" s="693"/>
      <c r="L684" s="693"/>
      <c r="M684" s="693"/>
      <c r="N684" s="693"/>
      <c r="O684" s="693"/>
      <c r="P684" s="693"/>
      <c r="Q684" s="693"/>
    </row>
    <row r="685" spans="1:17" ht="13.5">
      <c r="A685" s="693"/>
      <c r="B685" s="693"/>
      <c r="C685" s="693"/>
      <c r="D685" s="693"/>
      <c r="E685" s="693"/>
      <c r="F685" s="693"/>
      <c r="G685" s="693"/>
      <c r="H685" s="693"/>
      <c r="I685" s="693"/>
      <c r="J685" s="693"/>
      <c r="K685" s="693"/>
      <c r="L685" s="693"/>
      <c r="M685" s="693"/>
      <c r="N685" s="693"/>
      <c r="O685" s="693"/>
      <c r="P685" s="693"/>
      <c r="Q685" s="693"/>
    </row>
    <row r="686" spans="1:17" ht="13.5">
      <c r="A686" s="693"/>
      <c r="B686" s="693"/>
      <c r="C686" s="693"/>
      <c r="D686" s="693"/>
      <c r="E686" s="693"/>
      <c r="F686" s="693"/>
      <c r="G686" s="693"/>
      <c r="H686" s="693"/>
      <c r="I686" s="693"/>
      <c r="J686" s="693"/>
      <c r="K686" s="693"/>
      <c r="L686" s="693"/>
      <c r="M686" s="693"/>
      <c r="N686" s="693"/>
      <c r="O686" s="693"/>
      <c r="P686" s="693"/>
      <c r="Q686" s="693"/>
    </row>
    <row r="687" spans="1:17" ht="13.5">
      <c r="A687" s="693"/>
      <c r="B687" s="693"/>
      <c r="C687" s="693"/>
      <c r="D687" s="693"/>
      <c r="E687" s="693"/>
      <c r="F687" s="693"/>
      <c r="G687" s="693"/>
      <c r="H687" s="693"/>
      <c r="I687" s="693"/>
      <c r="J687" s="693"/>
      <c r="K687" s="693"/>
      <c r="L687" s="693"/>
      <c r="M687" s="693"/>
      <c r="N687" s="693"/>
      <c r="O687" s="693"/>
      <c r="P687" s="693"/>
      <c r="Q687" s="693"/>
    </row>
    <row r="688" spans="1:17" ht="13.5">
      <c r="A688" s="693"/>
      <c r="B688" s="693"/>
      <c r="C688" s="693"/>
      <c r="D688" s="693"/>
      <c r="E688" s="693"/>
      <c r="F688" s="693"/>
      <c r="G688" s="693"/>
      <c r="H688" s="693"/>
      <c r="I688" s="693"/>
      <c r="J688" s="693"/>
      <c r="K688" s="693"/>
      <c r="L688" s="693"/>
      <c r="M688" s="693"/>
      <c r="N688" s="693"/>
      <c r="O688" s="693"/>
      <c r="P688" s="693"/>
      <c r="Q688" s="693"/>
    </row>
    <row r="689" spans="1:17" ht="13.5">
      <c r="A689" s="693"/>
      <c r="B689" s="693"/>
      <c r="C689" s="693"/>
      <c r="D689" s="693"/>
      <c r="E689" s="693"/>
      <c r="F689" s="693"/>
      <c r="G689" s="693"/>
      <c r="H689" s="693"/>
      <c r="I689" s="693"/>
      <c r="J689" s="693"/>
      <c r="K689" s="693"/>
      <c r="L689" s="693"/>
      <c r="M689" s="693"/>
      <c r="N689" s="693"/>
      <c r="O689" s="693"/>
      <c r="P689" s="693"/>
      <c r="Q689" s="693"/>
    </row>
    <row r="690" spans="1:17" ht="13.5">
      <c r="A690" s="693"/>
      <c r="B690" s="693"/>
      <c r="C690" s="693"/>
      <c r="D690" s="693"/>
      <c r="E690" s="693"/>
      <c r="F690" s="693"/>
      <c r="G690" s="693"/>
      <c r="H690" s="693"/>
      <c r="I690" s="693"/>
      <c r="J690" s="693"/>
      <c r="K690" s="693"/>
      <c r="L690" s="693"/>
      <c r="M690" s="693"/>
      <c r="N690" s="693"/>
      <c r="O690" s="693"/>
      <c r="P690" s="693"/>
      <c r="Q690" s="693"/>
    </row>
    <row r="691" spans="1:17" ht="13.5">
      <c r="A691" s="693"/>
      <c r="B691" s="693"/>
      <c r="C691" s="693"/>
      <c r="D691" s="693"/>
      <c r="E691" s="693"/>
      <c r="F691" s="693"/>
      <c r="G691" s="693"/>
      <c r="H691" s="693"/>
      <c r="I691" s="693"/>
      <c r="J691" s="693"/>
      <c r="K691" s="693"/>
      <c r="L691" s="693"/>
      <c r="M691" s="693"/>
      <c r="N691" s="693"/>
      <c r="O691" s="693"/>
      <c r="P691" s="693"/>
      <c r="Q691" s="693"/>
    </row>
    <row r="692" spans="1:17" ht="13.5">
      <c r="A692" s="693"/>
      <c r="B692" s="693"/>
      <c r="C692" s="693"/>
      <c r="D692" s="693"/>
      <c r="E692" s="693"/>
      <c r="F692" s="693"/>
      <c r="G692" s="693"/>
      <c r="H692" s="693"/>
      <c r="I692" s="693"/>
      <c r="J692" s="693"/>
      <c r="K692" s="693"/>
      <c r="L692" s="693"/>
      <c r="M692" s="693"/>
      <c r="N692" s="693"/>
      <c r="O692" s="693"/>
      <c r="P692" s="693"/>
      <c r="Q692" s="693"/>
    </row>
    <row r="693" spans="1:17" ht="13.5">
      <c r="A693" s="693"/>
      <c r="B693" s="693"/>
      <c r="C693" s="693"/>
      <c r="D693" s="693"/>
      <c r="E693" s="693"/>
      <c r="F693" s="693"/>
      <c r="G693" s="693"/>
      <c r="H693" s="693"/>
      <c r="I693" s="693"/>
      <c r="J693" s="693"/>
      <c r="K693" s="693"/>
      <c r="L693" s="693"/>
      <c r="M693" s="693"/>
      <c r="N693" s="693"/>
      <c r="O693" s="693"/>
      <c r="P693" s="693"/>
      <c r="Q693" s="693"/>
    </row>
    <row r="694" spans="1:17" ht="13.5">
      <c r="A694" s="693"/>
      <c r="B694" s="693"/>
      <c r="C694" s="693"/>
      <c r="D694" s="693"/>
      <c r="E694" s="693"/>
      <c r="F694" s="693"/>
      <c r="G694" s="693"/>
      <c r="H694" s="693"/>
      <c r="I694" s="693"/>
      <c r="J694" s="693"/>
      <c r="K694" s="693"/>
      <c r="L694" s="693"/>
      <c r="M694" s="693"/>
      <c r="N694" s="693"/>
      <c r="O694" s="693"/>
      <c r="P694" s="693"/>
      <c r="Q694" s="693"/>
    </row>
    <row r="695" spans="1:17" ht="13.5">
      <c r="A695" s="693"/>
      <c r="B695" s="693"/>
      <c r="C695" s="693"/>
      <c r="D695" s="693"/>
      <c r="E695" s="693"/>
      <c r="F695" s="693"/>
      <c r="G695" s="693"/>
      <c r="H695" s="693"/>
      <c r="I695" s="693"/>
      <c r="J695" s="693"/>
      <c r="K695" s="693"/>
      <c r="L695" s="693"/>
      <c r="M695" s="693"/>
      <c r="N695" s="693"/>
      <c r="O695" s="693"/>
      <c r="P695" s="693"/>
      <c r="Q695" s="693"/>
    </row>
    <row r="696" spans="1:17" ht="13.5">
      <c r="A696" s="693"/>
      <c r="B696" s="693"/>
      <c r="C696" s="693"/>
      <c r="D696" s="693"/>
      <c r="E696" s="693"/>
      <c r="F696" s="693"/>
      <c r="G696" s="693"/>
      <c r="H696" s="693"/>
      <c r="I696" s="693"/>
      <c r="J696" s="693"/>
      <c r="K696" s="693"/>
      <c r="L696" s="693"/>
      <c r="M696" s="693"/>
      <c r="N696" s="693"/>
      <c r="O696" s="693"/>
      <c r="P696" s="693"/>
      <c r="Q696" s="693"/>
    </row>
    <row r="697" spans="1:17" ht="13.5">
      <c r="A697" s="693"/>
      <c r="B697" s="693"/>
      <c r="C697" s="693"/>
      <c r="D697" s="693"/>
      <c r="E697" s="693"/>
      <c r="F697" s="693"/>
      <c r="G697" s="693"/>
      <c r="H697" s="693"/>
      <c r="I697" s="693"/>
      <c r="J697" s="693"/>
      <c r="K697" s="693"/>
      <c r="L697" s="693"/>
      <c r="M697" s="693"/>
      <c r="N697" s="693"/>
      <c r="O697" s="693"/>
      <c r="P697" s="693"/>
      <c r="Q697" s="693"/>
    </row>
    <row r="698" spans="1:17" ht="13.5">
      <c r="A698" s="693"/>
      <c r="B698" s="693"/>
      <c r="C698" s="693"/>
      <c r="D698" s="693"/>
      <c r="E698" s="693"/>
      <c r="F698" s="693"/>
      <c r="G698" s="693"/>
      <c r="H698" s="693"/>
      <c r="I698" s="693"/>
      <c r="J698" s="693"/>
      <c r="K698" s="693"/>
      <c r="L698" s="693"/>
      <c r="M698" s="693"/>
      <c r="N698" s="693"/>
      <c r="O698" s="693"/>
      <c r="P698" s="693"/>
      <c r="Q698" s="693"/>
    </row>
    <row r="699" spans="1:17" ht="13.5">
      <c r="A699" s="693"/>
      <c r="B699" s="693"/>
      <c r="C699" s="693"/>
      <c r="D699" s="693"/>
      <c r="E699" s="693"/>
      <c r="F699" s="693"/>
      <c r="G699" s="693"/>
      <c r="H699" s="693"/>
      <c r="I699" s="693"/>
      <c r="J699" s="693"/>
      <c r="K699" s="693"/>
      <c r="L699" s="693"/>
      <c r="M699" s="693"/>
      <c r="N699" s="693"/>
      <c r="O699" s="693"/>
      <c r="P699" s="693"/>
      <c r="Q699" s="693"/>
    </row>
    <row r="700" spans="1:17" ht="13.5">
      <c r="A700" s="693"/>
      <c r="B700" s="693"/>
      <c r="C700" s="693"/>
      <c r="D700" s="693"/>
      <c r="E700" s="693"/>
      <c r="F700" s="693"/>
      <c r="G700" s="693"/>
      <c r="H700" s="693"/>
      <c r="I700" s="693"/>
      <c r="J700" s="693"/>
      <c r="K700" s="693"/>
      <c r="L700" s="693"/>
      <c r="M700" s="693"/>
      <c r="N700" s="693"/>
      <c r="O700" s="693"/>
      <c r="P700" s="693"/>
      <c r="Q700" s="693"/>
    </row>
    <row r="701" spans="1:17" ht="13.5">
      <c r="A701" s="693"/>
      <c r="B701" s="693"/>
      <c r="C701" s="693"/>
      <c r="D701" s="693"/>
      <c r="E701" s="693"/>
      <c r="F701" s="693"/>
      <c r="G701" s="693"/>
      <c r="H701" s="693"/>
      <c r="I701" s="693"/>
      <c r="J701" s="693"/>
      <c r="K701" s="693"/>
      <c r="L701" s="693"/>
      <c r="M701" s="693"/>
      <c r="N701" s="693"/>
      <c r="O701" s="693"/>
      <c r="P701" s="693"/>
      <c r="Q701" s="693"/>
    </row>
    <row r="702" spans="1:17" ht="13.5">
      <c r="A702" s="693"/>
      <c r="B702" s="693"/>
      <c r="C702" s="693"/>
      <c r="D702" s="693"/>
      <c r="E702" s="693"/>
      <c r="F702" s="693"/>
      <c r="G702" s="693"/>
      <c r="H702" s="693"/>
      <c r="I702" s="693"/>
      <c r="J702" s="693"/>
      <c r="K702" s="693"/>
      <c r="L702" s="693"/>
      <c r="M702" s="693"/>
      <c r="N702" s="693"/>
      <c r="O702" s="693"/>
      <c r="P702" s="693"/>
      <c r="Q702" s="693"/>
    </row>
    <row r="703" spans="1:17" ht="13.5">
      <c r="A703" s="693"/>
      <c r="B703" s="693"/>
      <c r="C703" s="693"/>
      <c r="D703" s="693"/>
      <c r="E703" s="693"/>
      <c r="F703" s="693"/>
      <c r="G703" s="693"/>
      <c r="H703" s="693"/>
      <c r="I703" s="693"/>
      <c r="J703" s="693"/>
      <c r="K703" s="693"/>
      <c r="L703" s="693"/>
      <c r="M703" s="693"/>
      <c r="N703" s="693"/>
      <c r="O703" s="693"/>
      <c r="P703" s="693"/>
      <c r="Q703" s="693"/>
    </row>
    <row r="704" spans="1:17" ht="13.5">
      <c r="A704" s="693"/>
      <c r="B704" s="693"/>
      <c r="C704" s="693"/>
      <c r="D704" s="693"/>
      <c r="E704" s="693"/>
      <c r="F704" s="693"/>
      <c r="G704" s="693"/>
      <c r="H704" s="693"/>
      <c r="I704" s="693"/>
      <c r="J704" s="693"/>
      <c r="K704" s="693"/>
      <c r="L704" s="693"/>
      <c r="M704" s="693"/>
      <c r="N704" s="693"/>
      <c r="O704" s="693"/>
      <c r="P704" s="693"/>
      <c r="Q704" s="693"/>
    </row>
    <row r="705" spans="1:17" ht="13.5">
      <c r="A705" s="693"/>
      <c r="B705" s="693"/>
      <c r="C705" s="693"/>
      <c r="D705" s="693"/>
      <c r="E705" s="693"/>
      <c r="F705" s="693"/>
      <c r="G705" s="693"/>
      <c r="H705" s="693"/>
      <c r="I705" s="693"/>
      <c r="J705" s="693"/>
      <c r="K705" s="693"/>
      <c r="L705" s="693"/>
      <c r="M705" s="693"/>
      <c r="N705" s="693"/>
      <c r="O705" s="693"/>
      <c r="P705" s="693"/>
      <c r="Q705" s="693"/>
    </row>
    <row r="706" spans="1:17" ht="13.5">
      <c r="A706" s="693"/>
      <c r="B706" s="693"/>
      <c r="C706" s="693"/>
      <c r="D706" s="693"/>
      <c r="E706" s="693"/>
      <c r="F706" s="693"/>
      <c r="G706" s="693"/>
      <c r="H706" s="693"/>
      <c r="I706" s="693"/>
      <c r="J706" s="693"/>
      <c r="K706" s="693"/>
      <c r="L706" s="693"/>
      <c r="M706" s="693"/>
      <c r="N706" s="693"/>
      <c r="O706" s="693"/>
      <c r="P706" s="693"/>
      <c r="Q706" s="693"/>
    </row>
    <row r="707" spans="1:17" ht="13.5">
      <c r="A707" s="693"/>
      <c r="B707" s="693"/>
      <c r="C707" s="693"/>
      <c r="D707" s="693"/>
      <c r="E707" s="693"/>
      <c r="F707" s="693"/>
      <c r="G707" s="693"/>
      <c r="H707" s="693"/>
      <c r="I707" s="693"/>
      <c r="J707" s="693"/>
      <c r="K707" s="693"/>
      <c r="L707" s="693"/>
      <c r="M707" s="693"/>
      <c r="N707" s="693"/>
      <c r="O707" s="693"/>
      <c r="P707" s="693"/>
      <c r="Q707" s="693"/>
    </row>
    <row r="708" spans="1:17" ht="13.5">
      <c r="A708" s="693"/>
      <c r="B708" s="693"/>
      <c r="C708" s="693"/>
      <c r="D708" s="693"/>
      <c r="E708" s="693"/>
      <c r="F708" s="693"/>
      <c r="G708" s="693"/>
      <c r="H708" s="693"/>
      <c r="I708" s="693"/>
      <c r="J708" s="693"/>
      <c r="K708" s="693"/>
      <c r="L708" s="693"/>
      <c r="M708" s="693"/>
      <c r="N708" s="693"/>
      <c r="O708" s="693"/>
      <c r="P708" s="693"/>
      <c r="Q708" s="693"/>
    </row>
    <row r="709" spans="1:17" ht="13.5">
      <c r="A709" s="693"/>
      <c r="B709" s="693"/>
      <c r="C709" s="693"/>
      <c r="D709" s="693"/>
      <c r="E709" s="693"/>
      <c r="F709" s="693"/>
      <c r="G709" s="693"/>
      <c r="H709" s="693"/>
      <c r="I709" s="693"/>
      <c r="J709" s="693"/>
      <c r="K709" s="693"/>
      <c r="L709" s="693"/>
      <c r="M709" s="693"/>
      <c r="N709" s="693"/>
      <c r="O709" s="693"/>
      <c r="P709" s="693"/>
      <c r="Q709" s="693"/>
    </row>
    <row r="710" spans="1:17" ht="13.5">
      <c r="A710" s="693"/>
      <c r="B710" s="693"/>
      <c r="C710" s="693"/>
      <c r="D710" s="693"/>
      <c r="E710" s="693"/>
      <c r="F710" s="693"/>
      <c r="G710" s="693"/>
      <c r="H710" s="693"/>
      <c r="I710" s="693"/>
      <c r="J710" s="693"/>
      <c r="K710" s="693"/>
      <c r="L710" s="693"/>
      <c r="M710" s="693"/>
      <c r="N710" s="693"/>
      <c r="O710" s="693"/>
      <c r="P710" s="693"/>
      <c r="Q710" s="693"/>
    </row>
    <row r="711" spans="1:17" ht="13.5">
      <c r="A711" s="693"/>
      <c r="B711" s="693"/>
      <c r="C711" s="693"/>
      <c r="D711" s="693"/>
      <c r="E711" s="693"/>
      <c r="F711" s="693"/>
      <c r="G711" s="693"/>
      <c r="H711" s="693"/>
      <c r="I711" s="693"/>
      <c r="J711" s="693"/>
      <c r="K711" s="693"/>
      <c r="L711" s="693"/>
      <c r="M711" s="693"/>
      <c r="N711" s="693"/>
      <c r="O711" s="693"/>
      <c r="P711" s="693"/>
      <c r="Q711" s="693"/>
    </row>
    <row r="712" spans="1:17" ht="13.5">
      <c r="A712" s="693"/>
      <c r="B712" s="693"/>
      <c r="C712" s="693"/>
      <c r="D712" s="693"/>
      <c r="E712" s="693"/>
      <c r="F712" s="693"/>
      <c r="G712" s="693"/>
      <c r="H712" s="693"/>
      <c r="I712" s="693"/>
      <c r="J712" s="693"/>
      <c r="K712" s="693"/>
      <c r="L712" s="693"/>
      <c r="M712" s="693"/>
      <c r="N712" s="693"/>
      <c r="O712" s="693"/>
      <c r="P712" s="693"/>
      <c r="Q712" s="693"/>
    </row>
    <row r="713" spans="1:17" ht="13.5">
      <c r="A713" s="693"/>
      <c r="B713" s="693"/>
      <c r="C713" s="693"/>
      <c r="D713" s="693"/>
      <c r="E713" s="693"/>
      <c r="F713" s="693"/>
      <c r="G713" s="693"/>
      <c r="H713" s="693"/>
      <c r="I713" s="693"/>
      <c r="J713" s="693"/>
      <c r="K713" s="693"/>
      <c r="L713" s="693"/>
      <c r="M713" s="693"/>
      <c r="N713" s="693"/>
      <c r="O713" s="693"/>
      <c r="P713" s="693"/>
      <c r="Q713" s="693"/>
    </row>
    <row r="714" spans="1:17" ht="13.5">
      <c r="A714" s="693"/>
      <c r="B714" s="693"/>
      <c r="C714" s="693"/>
      <c r="D714" s="693"/>
      <c r="E714" s="693"/>
      <c r="F714" s="693"/>
      <c r="G714" s="693"/>
      <c r="H714" s="693"/>
      <c r="I714" s="693"/>
      <c r="J714" s="693"/>
      <c r="K714" s="693"/>
      <c r="L714" s="693"/>
      <c r="M714" s="693"/>
      <c r="N714" s="693"/>
      <c r="O714" s="693"/>
      <c r="P714" s="693"/>
      <c r="Q714" s="693"/>
    </row>
    <row r="715" spans="1:17" ht="13.5">
      <c r="A715" s="693"/>
      <c r="B715" s="693"/>
      <c r="C715" s="693"/>
      <c r="D715" s="693"/>
      <c r="E715" s="693"/>
      <c r="F715" s="693"/>
      <c r="G715" s="693"/>
      <c r="H715" s="693"/>
      <c r="I715" s="693"/>
      <c r="J715" s="693"/>
      <c r="K715" s="693"/>
      <c r="L715" s="693"/>
      <c r="M715" s="693"/>
      <c r="N715" s="693"/>
      <c r="O715" s="693"/>
      <c r="P715" s="693"/>
      <c r="Q715" s="693"/>
    </row>
    <row r="716" spans="1:17" ht="13.5">
      <c r="A716" s="693"/>
      <c r="B716" s="693"/>
      <c r="C716" s="693"/>
      <c r="D716" s="693"/>
      <c r="E716" s="693"/>
      <c r="F716" s="693"/>
      <c r="G716" s="693"/>
      <c r="H716" s="693"/>
      <c r="I716" s="693"/>
      <c r="J716" s="693"/>
      <c r="K716" s="693"/>
      <c r="L716" s="693"/>
      <c r="M716" s="693"/>
      <c r="N716" s="693"/>
      <c r="O716" s="693"/>
      <c r="P716" s="693"/>
      <c r="Q716" s="693"/>
    </row>
    <row r="717" spans="1:17" ht="13.5">
      <c r="A717" s="693"/>
      <c r="B717" s="693"/>
      <c r="C717" s="693"/>
      <c r="D717" s="693"/>
      <c r="E717" s="693"/>
      <c r="F717" s="693"/>
      <c r="G717" s="693"/>
      <c r="H717" s="693"/>
      <c r="I717" s="693"/>
      <c r="J717" s="693"/>
      <c r="K717" s="693"/>
      <c r="L717" s="693"/>
      <c r="M717" s="693"/>
      <c r="N717" s="693"/>
      <c r="O717" s="693"/>
      <c r="P717" s="693"/>
      <c r="Q717" s="693"/>
    </row>
    <row r="718" spans="1:17" ht="13.5">
      <c r="A718" s="693"/>
      <c r="B718" s="693"/>
      <c r="C718" s="693"/>
      <c r="D718" s="693"/>
      <c r="E718" s="693"/>
      <c r="F718" s="693"/>
      <c r="G718" s="693"/>
      <c r="H718" s="693"/>
      <c r="I718" s="693"/>
      <c r="J718" s="693"/>
      <c r="K718" s="693"/>
      <c r="L718" s="693"/>
      <c r="M718" s="693"/>
      <c r="N718" s="693"/>
      <c r="O718" s="693"/>
      <c r="P718" s="693"/>
      <c r="Q718" s="693"/>
    </row>
    <row r="719" spans="1:17" ht="13.5">
      <c r="A719" s="693"/>
      <c r="B719" s="693"/>
      <c r="C719" s="693"/>
      <c r="D719" s="693"/>
      <c r="E719" s="693"/>
      <c r="F719" s="693"/>
      <c r="G719" s="693"/>
      <c r="H719" s="693"/>
      <c r="I719" s="693"/>
      <c r="J719" s="693"/>
      <c r="K719" s="693"/>
      <c r="L719" s="693"/>
      <c r="M719" s="693"/>
      <c r="N719" s="693"/>
      <c r="O719" s="693"/>
      <c r="P719" s="693"/>
      <c r="Q719" s="693"/>
    </row>
    <row r="720" spans="1:17" ht="13.5">
      <c r="A720" s="693"/>
      <c r="B720" s="693"/>
      <c r="C720" s="693"/>
      <c r="D720" s="693"/>
      <c r="E720" s="693"/>
      <c r="F720" s="693"/>
      <c r="G720" s="693"/>
      <c r="H720" s="693"/>
      <c r="I720" s="693"/>
      <c r="J720" s="693"/>
      <c r="K720" s="693"/>
      <c r="L720" s="693"/>
      <c r="M720" s="693"/>
      <c r="N720" s="693"/>
      <c r="O720" s="693"/>
      <c r="P720" s="693"/>
      <c r="Q720" s="693"/>
    </row>
    <row r="721" spans="1:17" ht="13.5">
      <c r="A721" s="693"/>
      <c r="B721" s="693"/>
      <c r="C721" s="693"/>
      <c r="D721" s="693"/>
      <c r="E721" s="693"/>
      <c r="F721" s="693"/>
      <c r="G721" s="693"/>
      <c r="H721" s="693"/>
      <c r="I721" s="693"/>
      <c r="J721" s="693"/>
      <c r="K721" s="693"/>
      <c r="L721" s="693"/>
      <c r="M721" s="693"/>
      <c r="N721" s="693"/>
      <c r="O721" s="693"/>
      <c r="P721" s="693"/>
      <c r="Q721" s="693"/>
    </row>
    <row r="722" spans="1:17" ht="13.5">
      <c r="A722" s="693"/>
      <c r="B722" s="693"/>
      <c r="C722" s="693"/>
      <c r="D722" s="693"/>
      <c r="E722" s="693"/>
      <c r="F722" s="693"/>
      <c r="G722" s="693"/>
      <c r="H722" s="693"/>
      <c r="I722" s="693"/>
      <c r="J722" s="693"/>
      <c r="K722" s="693"/>
      <c r="L722" s="693"/>
      <c r="M722" s="693"/>
      <c r="N722" s="693"/>
      <c r="O722" s="693"/>
      <c r="P722" s="693"/>
      <c r="Q722" s="693"/>
    </row>
    <row r="723" spans="1:17" ht="13.5">
      <c r="A723" s="693"/>
      <c r="B723" s="693"/>
      <c r="C723" s="693"/>
      <c r="D723" s="693"/>
      <c r="E723" s="693"/>
      <c r="F723" s="693"/>
      <c r="G723" s="693"/>
      <c r="H723" s="693"/>
      <c r="I723" s="693"/>
      <c r="J723" s="693"/>
      <c r="K723" s="693"/>
      <c r="L723" s="693"/>
      <c r="M723" s="693"/>
      <c r="N723" s="693"/>
      <c r="O723" s="693"/>
      <c r="P723" s="693"/>
      <c r="Q723" s="693"/>
    </row>
    <row r="724" spans="1:17" ht="13.5">
      <c r="A724" s="693"/>
      <c r="B724" s="693"/>
      <c r="C724" s="693"/>
      <c r="D724" s="693"/>
      <c r="E724" s="693"/>
      <c r="F724" s="693"/>
      <c r="G724" s="693"/>
      <c r="H724" s="693"/>
      <c r="I724" s="693"/>
      <c r="J724" s="693"/>
      <c r="K724" s="693"/>
      <c r="L724" s="693"/>
      <c r="M724" s="693"/>
      <c r="N724" s="693"/>
      <c r="O724" s="693"/>
      <c r="P724" s="693"/>
      <c r="Q724" s="693"/>
    </row>
    <row r="725" spans="1:17" ht="13.5">
      <c r="A725" s="693"/>
      <c r="B725" s="693"/>
      <c r="C725" s="693"/>
      <c r="D725" s="693"/>
      <c r="E725" s="693"/>
      <c r="F725" s="693"/>
      <c r="G725" s="693"/>
      <c r="H725" s="693"/>
      <c r="I725" s="693"/>
      <c r="J725" s="693"/>
      <c r="K725" s="693"/>
      <c r="L725" s="693"/>
      <c r="M725" s="693"/>
      <c r="N725" s="693"/>
      <c r="O725" s="693"/>
      <c r="P725" s="693"/>
      <c r="Q725" s="693"/>
    </row>
    <row r="726" spans="1:17" ht="13.5">
      <c r="A726" s="693"/>
      <c r="B726" s="693"/>
      <c r="C726" s="693"/>
      <c r="D726" s="693"/>
      <c r="E726" s="693"/>
      <c r="F726" s="693"/>
      <c r="G726" s="693"/>
      <c r="H726" s="693"/>
      <c r="I726" s="693"/>
      <c r="J726" s="693"/>
      <c r="K726" s="693"/>
      <c r="L726" s="693"/>
      <c r="M726" s="693"/>
      <c r="N726" s="693"/>
      <c r="O726" s="693"/>
      <c r="P726" s="693"/>
      <c r="Q726" s="693"/>
    </row>
    <row r="727" spans="1:17" ht="13.5">
      <c r="A727" s="693"/>
      <c r="B727" s="693"/>
      <c r="C727" s="693"/>
      <c r="D727" s="693"/>
      <c r="E727" s="693"/>
      <c r="F727" s="693"/>
      <c r="G727" s="693"/>
      <c r="H727" s="693"/>
      <c r="I727" s="693"/>
      <c r="J727" s="693"/>
      <c r="K727" s="693"/>
      <c r="L727" s="693"/>
      <c r="M727" s="693"/>
      <c r="N727" s="693"/>
      <c r="O727" s="693"/>
      <c r="P727" s="693"/>
      <c r="Q727" s="693"/>
    </row>
    <row r="728" spans="1:17" ht="13.5">
      <c r="A728" s="693"/>
      <c r="B728" s="693"/>
      <c r="C728" s="693"/>
      <c r="D728" s="693"/>
      <c r="E728" s="693"/>
      <c r="F728" s="693"/>
      <c r="G728" s="693"/>
      <c r="H728" s="693"/>
      <c r="I728" s="693"/>
      <c r="J728" s="693"/>
      <c r="K728" s="693"/>
      <c r="L728" s="693"/>
      <c r="M728" s="693"/>
      <c r="N728" s="693"/>
      <c r="O728" s="693"/>
      <c r="P728" s="693"/>
      <c r="Q728" s="693"/>
    </row>
    <row r="729" spans="1:17" ht="13.5">
      <c r="A729" s="693"/>
      <c r="B729" s="693"/>
      <c r="C729" s="693"/>
      <c r="D729" s="693"/>
      <c r="E729" s="693"/>
      <c r="F729" s="693"/>
      <c r="G729" s="693"/>
      <c r="H729" s="693"/>
      <c r="I729" s="693"/>
      <c r="J729" s="693"/>
      <c r="K729" s="693"/>
      <c r="L729" s="693"/>
      <c r="M729" s="693"/>
      <c r="N729" s="693"/>
      <c r="O729" s="693"/>
      <c r="P729" s="693"/>
      <c r="Q729" s="693"/>
    </row>
    <row r="730" spans="1:17" ht="13.5">
      <c r="A730" s="693"/>
      <c r="B730" s="693"/>
      <c r="C730" s="693"/>
      <c r="D730" s="693"/>
      <c r="E730" s="693"/>
      <c r="F730" s="693"/>
      <c r="G730" s="693"/>
      <c r="H730" s="693"/>
      <c r="I730" s="693"/>
      <c r="J730" s="693"/>
      <c r="K730" s="693"/>
      <c r="L730" s="693"/>
      <c r="M730" s="693"/>
      <c r="N730" s="693"/>
      <c r="O730" s="693"/>
      <c r="P730" s="693"/>
      <c r="Q730" s="693"/>
    </row>
    <row r="731" spans="1:17" ht="13.5">
      <c r="A731" s="693"/>
      <c r="B731" s="693"/>
      <c r="C731" s="693"/>
      <c r="D731" s="693"/>
      <c r="E731" s="693"/>
      <c r="F731" s="693"/>
      <c r="G731" s="693"/>
      <c r="H731" s="693"/>
      <c r="I731" s="693"/>
      <c r="J731" s="693"/>
      <c r="K731" s="693"/>
      <c r="L731" s="693"/>
      <c r="M731" s="693"/>
      <c r="N731" s="693"/>
      <c r="O731" s="693"/>
      <c r="P731" s="693"/>
      <c r="Q731" s="693"/>
    </row>
    <row r="732" spans="1:17" ht="13.5">
      <c r="A732" s="693"/>
      <c r="B732" s="693"/>
      <c r="C732" s="693"/>
      <c r="D732" s="693"/>
      <c r="E732" s="693"/>
      <c r="F732" s="693"/>
      <c r="G732" s="693"/>
      <c r="H732" s="693"/>
      <c r="I732" s="693"/>
      <c r="J732" s="693"/>
      <c r="K732" s="693"/>
      <c r="L732" s="693"/>
      <c r="M732" s="693"/>
      <c r="N732" s="693"/>
      <c r="O732" s="693"/>
      <c r="P732" s="693"/>
      <c r="Q732" s="693"/>
    </row>
    <row r="733" spans="1:17" ht="13.5">
      <c r="A733" s="693"/>
      <c r="B733" s="693"/>
      <c r="C733" s="693"/>
      <c r="D733" s="693"/>
      <c r="E733" s="693"/>
      <c r="F733" s="693"/>
      <c r="G733" s="693"/>
      <c r="H733" s="693"/>
      <c r="I733" s="693"/>
      <c r="J733" s="693"/>
      <c r="K733" s="693"/>
      <c r="L733" s="693"/>
      <c r="M733" s="693"/>
      <c r="N733" s="693"/>
      <c r="O733" s="693"/>
      <c r="P733" s="693"/>
      <c r="Q733" s="693"/>
    </row>
    <row r="734" spans="1:17" ht="13.5">
      <c r="A734" s="693"/>
      <c r="B734" s="693"/>
      <c r="C734" s="693"/>
      <c r="D734" s="693"/>
      <c r="E734" s="693"/>
      <c r="F734" s="693"/>
      <c r="G734" s="693"/>
      <c r="H734" s="693"/>
      <c r="I734" s="693"/>
      <c r="J734" s="693"/>
      <c r="K734" s="693"/>
      <c r="L734" s="693"/>
      <c r="M734" s="693"/>
      <c r="N734" s="693"/>
      <c r="O734" s="693"/>
      <c r="P734" s="693"/>
      <c r="Q734" s="693"/>
    </row>
    <row r="735" spans="1:17" ht="13.5">
      <c r="A735" s="693"/>
      <c r="B735" s="693"/>
      <c r="C735" s="693"/>
      <c r="D735" s="693"/>
      <c r="E735" s="693"/>
      <c r="F735" s="693"/>
      <c r="G735" s="693"/>
      <c r="H735" s="693"/>
      <c r="I735" s="693"/>
      <c r="J735" s="693"/>
      <c r="K735" s="693"/>
      <c r="L735" s="693"/>
      <c r="M735" s="693"/>
      <c r="N735" s="693"/>
      <c r="O735" s="693"/>
      <c r="P735" s="693"/>
      <c r="Q735" s="693"/>
    </row>
    <row r="736" spans="1:17" ht="13.5">
      <c r="A736" s="693"/>
      <c r="B736" s="693"/>
      <c r="C736" s="693"/>
      <c r="D736" s="693"/>
      <c r="E736" s="693"/>
      <c r="F736" s="693"/>
      <c r="G736" s="693"/>
      <c r="H736" s="693"/>
      <c r="I736" s="693"/>
      <c r="J736" s="693"/>
      <c r="K736" s="693"/>
      <c r="L736" s="693"/>
      <c r="M736" s="693"/>
      <c r="N736" s="693"/>
      <c r="O736" s="693"/>
      <c r="P736" s="693"/>
      <c r="Q736" s="693"/>
    </row>
    <row r="737" spans="1:17" ht="13.5">
      <c r="A737" s="693"/>
      <c r="B737" s="693"/>
      <c r="C737" s="693"/>
      <c r="D737" s="693"/>
      <c r="E737" s="693"/>
      <c r="F737" s="693"/>
      <c r="G737" s="693"/>
      <c r="H737" s="693"/>
      <c r="I737" s="693"/>
      <c r="J737" s="693"/>
      <c r="K737" s="693"/>
      <c r="L737" s="693"/>
      <c r="M737" s="693"/>
      <c r="N737" s="693"/>
      <c r="O737" s="693"/>
      <c r="P737" s="693"/>
      <c r="Q737" s="693"/>
    </row>
    <row r="738" spans="1:17" ht="13.5">
      <c r="A738" s="693"/>
      <c r="B738" s="693"/>
      <c r="C738" s="693"/>
      <c r="D738" s="693"/>
      <c r="E738" s="693"/>
      <c r="F738" s="693"/>
      <c r="G738" s="693"/>
      <c r="H738" s="693"/>
      <c r="I738" s="693"/>
      <c r="J738" s="693"/>
      <c r="K738" s="693"/>
      <c r="L738" s="693"/>
      <c r="M738" s="693"/>
      <c r="N738" s="693"/>
      <c r="O738" s="693"/>
      <c r="P738" s="693"/>
      <c r="Q738" s="693"/>
    </row>
    <row r="739" spans="1:17" ht="13.5">
      <c r="A739" s="693"/>
      <c r="B739" s="693"/>
      <c r="C739" s="693"/>
      <c r="D739" s="693"/>
      <c r="E739" s="693"/>
      <c r="F739" s="693"/>
      <c r="G739" s="693"/>
      <c r="H739" s="693"/>
      <c r="I739" s="693"/>
      <c r="J739" s="693"/>
      <c r="K739" s="693"/>
      <c r="L739" s="693"/>
      <c r="M739" s="693"/>
      <c r="N739" s="693"/>
      <c r="O739" s="693"/>
      <c r="P739" s="693"/>
      <c r="Q739" s="693"/>
    </row>
    <row r="740" spans="1:17" ht="13.5">
      <c r="A740" s="693"/>
      <c r="B740" s="693"/>
      <c r="C740" s="693"/>
      <c r="D740" s="693"/>
      <c r="E740" s="693"/>
      <c r="F740" s="693"/>
      <c r="G740" s="693"/>
      <c r="H740" s="693"/>
      <c r="I740" s="693"/>
      <c r="J740" s="693"/>
      <c r="K740" s="693"/>
      <c r="L740" s="693"/>
      <c r="M740" s="693"/>
      <c r="N740" s="693"/>
      <c r="O740" s="693"/>
      <c r="P740" s="693"/>
      <c r="Q740" s="693"/>
    </row>
    <row r="741" spans="1:17" ht="13.5">
      <c r="A741" s="693"/>
      <c r="B741" s="693"/>
      <c r="C741" s="693"/>
      <c r="D741" s="693"/>
      <c r="E741" s="693"/>
      <c r="F741" s="693"/>
      <c r="G741" s="693"/>
      <c r="H741" s="693"/>
      <c r="I741" s="693"/>
      <c r="J741" s="693"/>
      <c r="K741" s="693"/>
      <c r="L741" s="693"/>
      <c r="M741" s="693"/>
      <c r="N741" s="693"/>
      <c r="O741" s="693"/>
      <c r="P741" s="693"/>
      <c r="Q741" s="693"/>
    </row>
    <row r="742" spans="1:17" ht="13.5">
      <c r="A742" s="693"/>
      <c r="B742" s="693"/>
      <c r="C742" s="693"/>
      <c r="D742" s="693"/>
      <c r="E742" s="693"/>
      <c r="F742" s="693"/>
      <c r="G742" s="693"/>
      <c r="H742" s="693"/>
      <c r="I742" s="693"/>
      <c r="J742" s="693"/>
      <c r="K742" s="693"/>
      <c r="L742" s="693"/>
      <c r="M742" s="693"/>
      <c r="N742" s="693"/>
      <c r="O742" s="693"/>
      <c r="P742" s="693"/>
      <c r="Q742" s="693"/>
    </row>
    <row r="743" spans="1:17" ht="13.5">
      <c r="A743" s="693"/>
      <c r="B743" s="693"/>
      <c r="C743" s="693"/>
      <c r="D743" s="693"/>
      <c r="E743" s="693"/>
      <c r="F743" s="693"/>
      <c r="G743" s="693"/>
      <c r="H743" s="693"/>
      <c r="I743" s="693"/>
      <c r="J743" s="693"/>
      <c r="K743" s="693"/>
      <c r="L743" s="693"/>
      <c r="M743" s="693"/>
      <c r="N743" s="693"/>
      <c r="O743" s="693"/>
      <c r="P743" s="693"/>
      <c r="Q743" s="693"/>
    </row>
    <row r="744" spans="1:17" ht="13.5">
      <c r="A744" s="693"/>
      <c r="B744" s="693"/>
      <c r="C744" s="693"/>
      <c r="D744" s="693"/>
      <c r="E744" s="693"/>
      <c r="F744" s="693"/>
      <c r="G744" s="693"/>
      <c r="H744" s="693"/>
      <c r="I744" s="693"/>
      <c r="J744" s="693"/>
      <c r="K744" s="693"/>
      <c r="L744" s="693"/>
      <c r="M744" s="693"/>
      <c r="N744" s="693"/>
      <c r="O744" s="693"/>
      <c r="P744" s="693"/>
      <c r="Q744" s="693"/>
    </row>
    <row r="745" spans="1:17" ht="13.5">
      <c r="A745" s="693"/>
      <c r="B745" s="693"/>
      <c r="C745" s="693"/>
      <c r="D745" s="693"/>
      <c r="E745" s="693"/>
      <c r="F745" s="693"/>
      <c r="G745" s="693"/>
      <c r="H745" s="693"/>
      <c r="I745" s="693"/>
      <c r="J745" s="693"/>
      <c r="K745" s="693"/>
      <c r="L745" s="693"/>
      <c r="M745" s="693"/>
      <c r="N745" s="693"/>
      <c r="O745" s="693"/>
      <c r="P745" s="693"/>
      <c r="Q745" s="693"/>
    </row>
    <row r="746" spans="1:17" ht="13.5">
      <c r="A746" s="693"/>
      <c r="B746" s="693"/>
      <c r="C746" s="693"/>
      <c r="D746" s="693"/>
      <c r="E746" s="693"/>
      <c r="F746" s="693"/>
      <c r="G746" s="693"/>
      <c r="H746" s="693"/>
      <c r="I746" s="693"/>
      <c r="J746" s="693"/>
      <c r="K746" s="693"/>
      <c r="L746" s="693"/>
      <c r="M746" s="693"/>
      <c r="N746" s="693"/>
      <c r="O746" s="693"/>
      <c r="P746" s="693"/>
      <c r="Q746" s="693"/>
    </row>
    <row r="747" spans="1:17" ht="13.5">
      <c r="A747" s="693"/>
      <c r="B747" s="693"/>
      <c r="C747" s="693"/>
      <c r="D747" s="693"/>
      <c r="E747" s="693"/>
      <c r="F747" s="693"/>
      <c r="G747" s="693"/>
      <c r="H747" s="693"/>
      <c r="I747" s="693"/>
      <c r="J747" s="693"/>
      <c r="K747" s="693"/>
      <c r="L747" s="693"/>
      <c r="M747" s="693"/>
      <c r="N747" s="693"/>
      <c r="O747" s="693"/>
      <c r="P747" s="693"/>
      <c r="Q747" s="693"/>
    </row>
    <row r="748" spans="1:17" ht="13.5">
      <c r="A748" s="693"/>
      <c r="B748" s="693"/>
      <c r="C748" s="693"/>
      <c r="D748" s="693"/>
      <c r="E748" s="693"/>
      <c r="F748" s="693"/>
      <c r="G748" s="693"/>
      <c r="H748" s="693"/>
      <c r="I748" s="693"/>
      <c r="J748" s="693"/>
      <c r="K748" s="693"/>
      <c r="L748" s="693"/>
      <c r="M748" s="693"/>
      <c r="N748" s="693"/>
      <c r="O748" s="693"/>
      <c r="P748" s="693"/>
      <c r="Q748" s="693"/>
    </row>
    <row r="749" spans="1:17" ht="13.5">
      <c r="A749" s="693"/>
      <c r="B749" s="693"/>
      <c r="C749" s="693"/>
      <c r="D749" s="693"/>
      <c r="E749" s="693"/>
      <c r="F749" s="693"/>
      <c r="G749" s="693"/>
      <c r="H749" s="693"/>
      <c r="I749" s="693"/>
      <c r="J749" s="693"/>
      <c r="K749" s="693"/>
      <c r="L749" s="693"/>
      <c r="M749" s="693"/>
      <c r="N749" s="693"/>
      <c r="O749" s="693"/>
      <c r="P749" s="693"/>
      <c r="Q749" s="693"/>
    </row>
    <row r="750" spans="1:17" ht="13.5">
      <c r="A750" s="693"/>
      <c r="B750" s="693"/>
      <c r="C750" s="693"/>
      <c r="D750" s="693"/>
      <c r="E750" s="693"/>
      <c r="F750" s="693"/>
      <c r="G750" s="693"/>
      <c r="H750" s="693"/>
      <c r="I750" s="693"/>
      <c r="J750" s="693"/>
      <c r="K750" s="693"/>
      <c r="L750" s="693"/>
      <c r="M750" s="693"/>
      <c r="N750" s="693"/>
      <c r="O750" s="693"/>
      <c r="P750" s="693"/>
      <c r="Q750" s="693"/>
    </row>
    <row r="751" spans="1:17" ht="13.5">
      <c r="A751" s="693"/>
      <c r="B751" s="693"/>
      <c r="C751" s="693"/>
      <c r="D751" s="693"/>
      <c r="E751" s="693"/>
      <c r="F751" s="693"/>
      <c r="G751" s="693"/>
      <c r="H751" s="693"/>
      <c r="I751" s="693"/>
      <c r="J751" s="693"/>
      <c r="K751" s="693"/>
      <c r="L751" s="693"/>
      <c r="M751" s="693"/>
      <c r="N751" s="693"/>
      <c r="O751" s="693"/>
      <c r="P751" s="693"/>
      <c r="Q751" s="693"/>
    </row>
    <row r="752" spans="1:17" ht="13.5">
      <c r="A752" s="693"/>
      <c r="B752" s="693"/>
      <c r="C752" s="693"/>
      <c r="D752" s="693"/>
      <c r="E752" s="693"/>
      <c r="F752" s="693"/>
      <c r="G752" s="693"/>
      <c r="H752" s="693"/>
      <c r="I752" s="693"/>
      <c r="J752" s="693"/>
      <c r="K752" s="693"/>
      <c r="L752" s="693"/>
      <c r="M752" s="693"/>
      <c r="N752" s="693"/>
      <c r="O752" s="693"/>
      <c r="P752" s="693"/>
      <c r="Q752" s="693"/>
    </row>
    <row r="753" spans="1:17" ht="13.5">
      <c r="A753" s="693"/>
      <c r="B753" s="693"/>
      <c r="C753" s="693"/>
      <c r="D753" s="693"/>
      <c r="E753" s="693"/>
      <c r="F753" s="693"/>
      <c r="G753" s="693"/>
      <c r="H753" s="693"/>
      <c r="I753" s="693"/>
      <c r="J753" s="693"/>
      <c r="K753" s="693"/>
      <c r="L753" s="693"/>
      <c r="M753" s="693"/>
      <c r="N753" s="693"/>
      <c r="O753" s="693"/>
      <c r="P753" s="693"/>
      <c r="Q753" s="693"/>
    </row>
    <row r="754" spans="1:17" ht="13.5">
      <c r="A754" s="693"/>
      <c r="B754" s="693"/>
      <c r="C754" s="693"/>
      <c r="D754" s="693"/>
      <c r="E754" s="693"/>
      <c r="F754" s="693"/>
      <c r="G754" s="693"/>
      <c r="H754" s="693"/>
      <c r="I754" s="693"/>
      <c r="J754" s="693"/>
      <c r="K754" s="693"/>
      <c r="L754" s="693"/>
      <c r="M754" s="693"/>
      <c r="N754" s="693"/>
      <c r="O754" s="693"/>
      <c r="P754" s="693"/>
      <c r="Q754" s="693"/>
    </row>
    <row r="755" spans="1:17" ht="13.5">
      <c r="A755" s="693"/>
      <c r="B755" s="693"/>
      <c r="C755" s="693"/>
      <c r="D755" s="693"/>
      <c r="E755" s="693"/>
      <c r="F755" s="693"/>
      <c r="G755" s="693"/>
      <c r="H755" s="693"/>
      <c r="I755" s="693"/>
      <c r="J755" s="693"/>
      <c r="K755" s="693"/>
      <c r="L755" s="693"/>
      <c r="M755" s="693"/>
      <c r="N755" s="693"/>
      <c r="O755" s="693"/>
      <c r="P755" s="693"/>
      <c r="Q755" s="693"/>
    </row>
    <row r="756" spans="1:17" ht="13.5">
      <c r="A756" s="693"/>
      <c r="B756" s="693"/>
      <c r="C756" s="693"/>
      <c r="D756" s="693"/>
      <c r="E756" s="693"/>
      <c r="F756" s="693"/>
      <c r="G756" s="693"/>
      <c r="H756" s="693"/>
      <c r="I756" s="693"/>
      <c r="J756" s="693"/>
      <c r="K756" s="693"/>
      <c r="L756" s="693"/>
      <c r="M756" s="693"/>
      <c r="N756" s="693"/>
      <c r="O756" s="693"/>
      <c r="P756" s="693"/>
      <c r="Q756" s="693"/>
    </row>
    <row r="757" spans="1:17" ht="13.5">
      <c r="A757" s="693"/>
      <c r="B757" s="693"/>
      <c r="C757" s="693"/>
      <c r="D757" s="693"/>
      <c r="E757" s="693"/>
      <c r="F757" s="693"/>
      <c r="G757" s="693"/>
      <c r="H757" s="693"/>
      <c r="I757" s="693"/>
      <c r="J757" s="693"/>
      <c r="K757" s="693"/>
      <c r="L757" s="693"/>
      <c r="M757" s="693"/>
      <c r="N757" s="693"/>
      <c r="O757" s="693"/>
      <c r="P757" s="693"/>
      <c r="Q757" s="693"/>
    </row>
    <row r="758" spans="1:17" ht="13.5">
      <c r="A758" s="693"/>
      <c r="B758" s="693"/>
      <c r="C758" s="693"/>
      <c r="D758" s="693"/>
      <c r="E758" s="693"/>
      <c r="F758" s="693"/>
      <c r="G758" s="693"/>
      <c r="H758" s="693"/>
      <c r="I758" s="693"/>
      <c r="J758" s="693"/>
      <c r="K758" s="693"/>
      <c r="L758" s="693"/>
      <c r="M758" s="693"/>
      <c r="N758" s="693"/>
      <c r="O758" s="693"/>
      <c r="P758" s="693"/>
      <c r="Q758" s="693"/>
    </row>
    <row r="759" spans="1:17" ht="13.5">
      <c r="A759" s="693"/>
      <c r="B759" s="693"/>
      <c r="C759" s="693"/>
      <c r="D759" s="693"/>
      <c r="E759" s="693"/>
      <c r="F759" s="693"/>
      <c r="G759" s="693"/>
      <c r="H759" s="693"/>
      <c r="I759" s="693"/>
      <c r="J759" s="693"/>
      <c r="K759" s="693"/>
      <c r="L759" s="693"/>
      <c r="M759" s="693"/>
      <c r="N759" s="693"/>
      <c r="O759" s="693"/>
      <c r="P759" s="693"/>
      <c r="Q759" s="693"/>
    </row>
    <row r="760" spans="1:17" ht="13.5">
      <c r="A760" s="693"/>
      <c r="B760" s="693"/>
      <c r="C760" s="693"/>
      <c r="D760" s="693"/>
      <c r="E760" s="693"/>
      <c r="F760" s="693"/>
      <c r="G760" s="693"/>
      <c r="H760" s="693"/>
      <c r="I760" s="693"/>
      <c r="J760" s="693"/>
      <c r="K760" s="693"/>
      <c r="L760" s="693"/>
      <c r="M760" s="693"/>
      <c r="N760" s="693"/>
      <c r="O760" s="693"/>
      <c r="P760" s="693"/>
      <c r="Q760" s="693"/>
    </row>
    <row r="761" spans="1:17" ht="13.5">
      <c r="A761" s="693"/>
      <c r="B761" s="693"/>
      <c r="C761" s="693"/>
      <c r="D761" s="693"/>
      <c r="E761" s="693"/>
      <c r="F761" s="693"/>
      <c r="G761" s="693"/>
      <c r="H761" s="693"/>
      <c r="I761" s="693"/>
      <c r="J761" s="693"/>
      <c r="K761" s="693"/>
      <c r="L761" s="693"/>
      <c r="M761" s="693"/>
      <c r="N761" s="693"/>
      <c r="O761" s="693"/>
      <c r="P761" s="693"/>
      <c r="Q761" s="693"/>
    </row>
    <row r="762" spans="1:17" ht="13.5">
      <c r="A762" s="693"/>
      <c r="B762" s="693"/>
      <c r="C762" s="693"/>
      <c r="D762" s="693"/>
      <c r="E762" s="693"/>
      <c r="F762" s="693"/>
      <c r="G762" s="693"/>
      <c r="H762" s="693"/>
      <c r="I762" s="693"/>
      <c r="J762" s="693"/>
      <c r="K762" s="693"/>
      <c r="L762" s="693"/>
      <c r="M762" s="693"/>
      <c r="N762" s="693"/>
      <c r="O762" s="693"/>
      <c r="P762" s="693"/>
      <c r="Q762" s="693"/>
    </row>
    <row r="763" spans="1:17" ht="13.5">
      <c r="A763" s="693"/>
      <c r="B763" s="693"/>
      <c r="C763" s="693"/>
      <c r="D763" s="693"/>
      <c r="E763" s="693"/>
      <c r="F763" s="693"/>
      <c r="G763" s="693"/>
      <c r="H763" s="693"/>
      <c r="I763" s="693"/>
      <c r="J763" s="693"/>
      <c r="K763" s="693"/>
      <c r="L763" s="693"/>
      <c r="M763" s="693"/>
      <c r="N763" s="693"/>
      <c r="O763" s="693"/>
      <c r="P763" s="693"/>
      <c r="Q763" s="693"/>
    </row>
    <row r="764" spans="1:17" ht="13.5">
      <c r="A764" s="693"/>
      <c r="B764" s="693"/>
      <c r="C764" s="693"/>
      <c r="D764" s="693"/>
      <c r="E764" s="693"/>
      <c r="F764" s="693"/>
      <c r="G764" s="693"/>
      <c r="H764" s="693"/>
      <c r="I764" s="693"/>
      <c r="J764" s="693"/>
      <c r="K764" s="693"/>
      <c r="L764" s="693"/>
      <c r="M764" s="693"/>
      <c r="N764" s="693"/>
      <c r="O764" s="693"/>
      <c r="P764" s="693"/>
      <c r="Q764" s="693"/>
    </row>
    <row r="765" spans="1:17" ht="13.5">
      <c r="A765" s="693"/>
      <c r="B765" s="693"/>
      <c r="C765" s="693"/>
      <c r="D765" s="693"/>
      <c r="E765" s="693"/>
      <c r="F765" s="693"/>
      <c r="G765" s="693"/>
      <c r="H765" s="693"/>
      <c r="I765" s="693"/>
      <c r="J765" s="693"/>
      <c r="K765" s="693"/>
      <c r="L765" s="693"/>
      <c r="M765" s="693"/>
      <c r="N765" s="693"/>
      <c r="O765" s="693"/>
      <c r="P765" s="693"/>
      <c r="Q765" s="693"/>
    </row>
    <row r="766" spans="1:17" ht="13.5">
      <c r="A766" s="693"/>
      <c r="B766" s="693"/>
      <c r="C766" s="693"/>
      <c r="D766" s="693"/>
      <c r="E766" s="693"/>
      <c r="F766" s="693"/>
      <c r="G766" s="693"/>
      <c r="H766" s="693"/>
      <c r="I766" s="693"/>
      <c r="J766" s="693"/>
      <c r="K766" s="693"/>
      <c r="L766" s="693"/>
      <c r="M766" s="693"/>
      <c r="N766" s="693"/>
      <c r="O766" s="693"/>
      <c r="P766" s="693"/>
      <c r="Q766" s="693"/>
    </row>
    <row r="767" spans="1:17" ht="13.5">
      <c r="A767" s="693"/>
      <c r="B767" s="693"/>
      <c r="C767" s="693"/>
      <c r="D767" s="693"/>
      <c r="E767" s="693"/>
      <c r="F767" s="693"/>
      <c r="G767" s="693"/>
      <c r="H767" s="693"/>
      <c r="I767" s="693"/>
      <c r="J767" s="693"/>
      <c r="K767" s="693"/>
      <c r="L767" s="693"/>
      <c r="M767" s="693"/>
      <c r="N767" s="693"/>
      <c r="O767" s="693"/>
      <c r="P767" s="693"/>
      <c r="Q767" s="693"/>
    </row>
    <row r="768" spans="1:17" ht="13.5">
      <c r="A768" s="693"/>
      <c r="B768" s="693"/>
      <c r="C768" s="693"/>
      <c r="D768" s="693"/>
      <c r="E768" s="693"/>
      <c r="F768" s="693"/>
      <c r="G768" s="693"/>
      <c r="H768" s="693"/>
      <c r="I768" s="693"/>
      <c r="J768" s="693"/>
      <c r="K768" s="693"/>
      <c r="L768" s="693"/>
      <c r="M768" s="693"/>
      <c r="N768" s="693"/>
      <c r="O768" s="693"/>
      <c r="P768" s="693"/>
      <c r="Q768" s="693"/>
    </row>
    <row r="769" spans="1:17" ht="13.5">
      <c r="A769" s="693"/>
      <c r="B769" s="693"/>
      <c r="C769" s="693"/>
      <c r="D769" s="693"/>
      <c r="E769" s="693"/>
      <c r="F769" s="693"/>
      <c r="G769" s="693"/>
      <c r="H769" s="693"/>
      <c r="I769" s="693"/>
      <c r="J769" s="693"/>
      <c r="K769" s="693"/>
      <c r="L769" s="693"/>
      <c r="M769" s="693"/>
      <c r="N769" s="693"/>
      <c r="O769" s="693"/>
      <c r="P769" s="693"/>
      <c r="Q769" s="693"/>
    </row>
    <row r="770" spans="1:17" ht="13.5">
      <c r="A770" s="693"/>
      <c r="B770" s="693"/>
      <c r="C770" s="693"/>
      <c r="D770" s="693"/>
      <c r="E770" s="693"/>
      <c r="F770" s="693"/>
      <c r="G770" s="693"/>
      <c r="H770" s="693"/>
      <c r="I770" s="693"/>
      <c r="J770" s="693"/>
      <c r="K770" s="693"/>
      <c r="L770" s="693"/>
      <c r="M770" s="693"/>
      <c r="N770" s="693"/>
      <c r="O770" s="693"/>
      <c r="P770" s="693"/>
      <c r="Q770" s="693"/>
    </row>
    <row r="771" spans="1:17" ht="13.5">
      <c r="A771" s="693"/>
      <c r="B771" s="693"/>
      <c r="C771" s="693"/>
      <c r="D771" s="693"/>
      <c r="E771" s="693"/>
      <c r="F771" s="693"/>
      <c r="G771" s="693"/>
      <c r="H771" s="693"/>
      <c r="I771" s="693"/>
      <c r="J771" s="693"/>
      <c r="K771" s="693"/>
      <c r="L771" s="693"/>
      <c r="M771" s="693"/>
      <c r="N771" s="693"/>
      <c r="O771" s="693"/>
      <c r="P771" s="693"/>
      <c r="Q771" s="693"/>
    </row>
    <row r="772" spans="1:17" ht="13.5">
      <c r="A772" s="693"/>
      <c r="B772" s="693"/>
      <c r="C772" s="693"/>
      <c r="D772" s="693"/>
      <c r="E772" s="693"/>
      <c r="F772" s="693"/>
      <c r="G772" s="693"/>
      <c r="H772" s="693"/>
      <c r="I772" s="693"/>
      <c r="J772" s="693"/>
      <c r="K772" s="693"/>
      <c r="L772" s="693"/>
      <c r="M772" s="693"/>
      <c r="N772" s="693"/>
      <c r="O772" s="693"/>
      <c r="P772" s="693"/>
      <c r="Q772" s="693"/>
    </row>
    <row r="773" spans="1:17" ht="13.5">
      <c r="A773" s="693"/>
      <c r="B773" s="693"/>
      <c r="C773" s="693"/>
      <c r="D773" s="693"/>
      <c r="E773" s="693"/>
      <c r="F773" s="693"/>
      <c r="G773" s="693"/>
      <c r="H773" s="693"/>
      <c r="I773" s="693"/>
      <c r="J773" s="693"/>
      <c r="K773" s="693"/>
      <c r="L773" s="693"/>
      <c r="M773" s="693"/>
      <c r="N773" s="693"/>
      <c r="O773" s="693"/>
      <c r="P773" s="693"/>
      <c r="Q773" s="693"/>
    </row>
    <row r="774" spans="1:17" ht="13.5">
      <c r="A774" s="693"/>
      <c r="B774" s="693"/>
      <c r="C774" s="693"/>
      <c r="D774" s="693"/>
      <c r="E774" s="693"/>
      <c r="F774" s="693"/>
      <c r="G774" s="693"/>
      <c r="H774" s="693"/>
      <c r="I774" s="693"/>
      <c r="J774" s="693"/>
      <c r="K774" s="693"/>
      <c r="L774" s="693"/>
      <c r="M774" s="693"/>
      <c r="N774" s="693"/>
      <c r="O774" s="693"/>
      <c r="P774" s="693"/>
      <c r="Q774" s="693"/>
    </row>
    <row r="775" spans="1:17" ht="13.5">
      <c r="A775" s="693"/>
      <c r="B775" s="693"/>
      <c r="C775" s="693"/>
      <c r="D775" s="693"/>
      <c r="E775" s="693"/>
      <c r="F775" s="693"/>
      <c r="G775" s="693"/>
      <c r="H775" s="693"/>
      <c r="I775" s="693"/>
      <c r="J775" s="693"/>
      <c r="K775" s="693"/>
      <c r="L775" s="693"/>
      <c r="M775" s="693"/>
      <c r="N775" s="693"/>
      <c r="O775" s="693"/>
      <c r="P775" s="693"/>
      <c r="Q775" s="693"/>
    </row>
    <row r="776" spans="1:17" ht="13.5">
      <c r="A776" s="693"/>
      <c r="B776" s="693"/>
      <c r="C776" s="693"/>
      <c r="D776" s="693"/>
      <c r="E776" s="693"/>
      <c r="F776" s="693"/>
      <c r="G776" s="693"/>
      <c r="H776" s="693"/>
      <c r="I776" s="693"/>
      <c r="J776" s="693"/>
      <c r="K776" s="693"/>
      <c r="L776" s="693"/>
      <c r="M776" s="693"/>
      <c r="N776" s="693"/>
      <c r="O776" s="693"/>
      <c r="P776" s="693"/>
      <c r="Q776" s="693"/>
    </row>
    <row r="777" spans="1:17" ht="13.5">
      <c r="A777" s="693"/>
      <c r="B777" s="693"/>
      <c r="C777" s="693"/>
      <c r="D777" s="693"/>
      <c r="E777" s="693"/>
      <c r="F777" s="693"/>
      <c r="G777" s="693"/>
      <c r="H777" s="693"/>
      <c r="I777" s="693"/>
      <c r="J777" s="693"/>
      <c r="K777" s="693"/>
      <c r="L777" s="693"/>
      <c r="M777" s="693"/>
      <c r="N777" s="693"/>
      <c r="O777" s="693"/>
      <c r="P777" s="693"/>
      <c r="Q777" s="693"/>
    </row>
    <row r="778" spans="1:17" ht="13.5">
      <c r="A778" s="693"/>
      <c r="B778" s="693"/>
      <c r="C778" s="693"/>
      <c r="D778" s="693"/>
      <c r="E778" s="693"/>
      <c r="F778" s="693"/>
      <c r="G778" s="693"/>
      <c r="H778" s="693"/>
      <c r="I778" s="693"/>
      <c r="J778" s="693"/>
      <c r="K778" s="693"/>
      <c r="L778" s="693"/>
      <c r="M778" s="693"/>
      <c r="N778" s="693"/>
      <c r="O778" s="693"/>
      <c r="P778" s="693"/>
      <c r="Q778" s="693"/>
    </row>
    <row r="779" spans="1:17" ht="13.5">
      <c r="A779" s="693"/>
      <c r="B779" s="693"/>
      <c r="C779" s="693"/>
      <c r="D779" s="693"/>
      <c r="E779" s="693"/>
      <c r="F779" s="693"/>
      <c r="G779" s="693"/>
      <c r="H779" s="693"/>
      <c r="I779" s="693"/>
      <c r="J779" s="693"/>
      <c r="K779" s="693"/>
      <c r="L779" s="693"/>
      <c r="M779" s="693"/>
      <c r="N779" s="693"/>
      <c r="O779" s="693"/>
      <c r="P779" s="693"/>
      <c r="Q779" s="693"/>
    </row>
    <row r="780" spans="1:17" ht="13.5">
      <c r="A780" s="693"/>
      <c r="B780" s="693"/>
      <c r="C780" s="693"/>
      <c r="D780" s="693"/>
      <c r="E780" s="693"/>
      <c r="F780" s="693"/>
      <c r="G780" s="693"/>
      <c r="H780" s="693"/>
      <c r="I780" s="693"/>
      <c r="J780" s="693"/>
      <c r="K780" s="693"/>
      <c r="L780" s="693"/>
      <c r="M780" s="693"/>
      <c r="N780" s="693"/>
      <c r="O780" s="693"/>
      <c r="P780" s="693"/>
      <c r="Q780" s="693"/>
    </row>
    <row r="781" spans="1:17" ht="13.5">
      <c r="A781" s="693"/>
      <c r="B781" s="693"/>
      <c r="C781" s="693"/>
      <c r="D781" s="693"/>
      <c r="E781" s="693"/>
      <c r="F781" s="693"/>
      <c r="G781" s="693"/>
      <c r="H781" s="693"/>
      <c r="I781" s="693"/>
      <c r="J781" s="693"/>
      <c r="K781" s="693"/>
      <c r="L781" s="693"/>
      <c r="M781" s="693"/>
      <c r="N781" s="693"/>
      <c r="O781" s="693"/>
      <c r="P781" s="693"/>
      <c r="Q781" s="693"/>
    </row>
    <row r="782" spans="1:17" ht="13.5">
      <c r="A782" s="693"/>
      <c r="B782" s="693"/>
      <c r="C782" s="693"/>
      <c r="D782" s="693"/>
      <c r="E782" s="693"/>
      <c r="F782" s="693"/>
      <c r="G782" s="693"/>
      <c r="H782" s="693"/>
      <c r="I782" s="693"/>
      <c r="J782" s="693"/>
      <c r="K782" s="693"/>
      <c r="L782" s="693"/>
      <c r="M782" s="693"/>
      <c r="N782" s="693"/>
      <c r="O782" s="693"/>
      <c r="P782" s="693"/>
      <c r="Q782" s="693"/>
    </row>
    <row r="783" spans="1:17" ht="13.5">
      <c r="A783" s="693"/>
      <c r="B783" s="693"/>
      <c r="C783" s="693"/>
      <c r="D783" s="693"/>
      <c r="E783" s="693"/>
      <c r="F783" s="693"/>
      <c r="G783" s="693"/>
      <c r="H783" s="693"/>
      <c r="I783" s="693"/>
      <c r="J783" s="693"/>
      <c r="K783" s="693"/>
      <c r="L783" s="693"/>
      <c r="M783" s="693"/>
      <c r="N783" s="693"/>
      <c r="O783" s="693"/>
      <c r="P783" s="693"/>
      <c r="Q783" s="693"/>
    </row>
    <row r="784" spans="1:17" ht="13.5">
      <c r="A784" s="693"/>
      <c r="B784" s="693"/>
      <c r="C784" s="693"/>
      <c r="D784" s="693"/>
      <c r="E784" s="693"/>
      <c r="F784" s="693"/>
      <c r="G784" s="693"/>
      <c r="H784" s="693"/>
      <c r="I784" s="693"/>
      <c r="J784" s="693"/>
      <c r="K784" s="693"/>
      <c r="L784" s="693"/>
      <c r="M784" s="693"/>
      <c r="N784" s="693"/>
      <c r="O784" s="693"/>
      <c r="P784" s="693"/>
      <c r="Q784" s="693"/>
    </row>
    <row r="785" spans="1:17" ht="13.5">
      <c r="A785" s="693"/>
      <c r="B785" s="693"/>
      <c r="C785" s="693"/>
      <c r="D785" s="693"/>
      <c r="E785" s="693"/>
      <c r="F785" s="693"/>
      <c r="G785" s="693"/>
      <c r="H785" s="693"/>
      <c r="I785" s="693"/>
      <c r="J785" s="693"/>
      <c r="K785" s="693"/>
      <c r="L785" s="693"/>
      <c r="M785" s="693"/>
      <c r="N785" s="693"/>
      <c r="O785" s="693"/>
      <c r="P785" s="693"/>
      <c r="Q785" s="693"/>
    </row>
    <row r="786" spans="1:17" ht="13.5">
      <c r="A786" s="693"/>
      <c r="B786" s="693"/>
      <c r="C786" s="693"/>
      <c r="D786" s="693"/>
      <c r="E786" s="693"/>
      <c r="F786" s="693"/>
      <c r="G786" s="693"/>
      <c r="H786" s="693"/>
      <c r="I786" s="693"/>
      <c r="J786" s="693"/>
      <c r="K786" s="693"/>
      <c r="L786" s="693"/>
      <c r="M786" s="693"/>
      <c r="N786" s="693"/>
      <c r="O786" s="693"/>
      <c r="P786" s="693"/>
      <c r="Q786" s="693"/>
    </row>
    <row r="787" spans="1:17" ht="13.5">
      <c r="A787" s="693"/>
      <c r="B787" s="693"/>
      <c r="C787" s="693"/>
      <c r="D787" s="693"/>
      <c r="E787" s="693"/>
      <c r="F787" s="693"/>
      <c r="G787" s="693"/>
      <c r="H787" s="693"/>
      <c r="I787" s="693"/>
      <c r="J787" s="693"/>
      <c r="K787" s="693"/>
      <c r="L787" s="693"/>
      <c r="M787" s="693"/>
      <c r="N787" s="693"/>
      <c r="O787" s="693"/>
      <c r="P787" s="693"/>
      <c r="Q787" s="693"/>
    </row>
    <row r="788" spans="1:17" ht="13.5">
      <c r="A788" s="693"/>
      <c r="B788" s="693"/>
      <c r="C788" s="693"/>
      <c r="D788" s="693"/>
      <c r="E788" s="693"/>
      <c r="F788" s="693"/>
      <c r="G788" s="693"/>
      <c r="H788" s="693"/>
      <c r="I788" s="693"/>
      <c r="J788" s="693"/>
      <c r="K788" s="693"/>
      <c r="L788" s="693"/>
      <c r="M788" s="693"/>
      <c r="N788" s="693"/>
      <c r="O788" s="693"/>
      <c r="P788" s="693"/>
      <c r="Q788" s="693"/>
    </row>
    <row r="789" spans="1:17" ht="13.5">
      <c r="A789" s="693"/>
      <c r="B789" s="693"/>
      <c r="C789" s="693"/>
      <c r="D789" s="693"/>
      <c r="E789" s="693"/>
      <c r="F789" s="693"/>
      <c r="G789" s="693"/>
      <c r="H789" s="693"/>
      <c r="I789" s="693"/>
      <c r="J789" s="693"/>
      <c r="K789" s="693"/>
      <c r="L789" s="693"/>
      <c r="M789" s="693"/>
      <c r="N789" s="693"/>
      <c r="O789" s="693"/>
      <c r="P789" s="693"/>
      <c r="Q789" s="693"/>
    </row>
    <row r="790" spans="1:17" ht="13.5">
      <c r="A790" s="693"/>
      <c r="B790" s="693"/>
      <c r="C790" s="693"/>
      <c r="D790" s="693"/>
      <c r="E790" s="693"/>
      <c r="F790" s="693"/>
      <c r="G790" s="693"/>
      <c r="H790" s="693"/>
      <c r="I790" s="693"/>
      <c r="J790" s="693"/>
      <c r="K790" s="693"/>
      <c r="L790" s="693"/>
      <c r="M790" s="693"/>
      <c r="N790" s="693"/>
      <c r="O790" s="693"/>
      <c r="P790" s="693"/>
      <c r="Q790" s="693"/>
    </row>
    <row r="791" spans="1:17" ht="13.5">
      <c r="A791" s="693"/>
      <c r="B791" s="693"/>
      <c r="C791" s="693"/>
      <c r="D791" s="693"/>
      <c r="E791" s="693"/>
      <c r="F791" s="693"/>
      <c r="G791" s="693"/>
      <c r="H791" s="693"/>
      <c r="I791" s="693"/>
      <c r="J791" s="693"/>
      <c r="K791" s="693"/>
      <c r="L791" s="693"/>
      <c r="M791" s="693"/>
      <c r="N791" s="693"/>
      <c r="O791" s="693"/>
      <c r="P791" s="693"/>
      <c r="Q791" s="693"/>
    </row>
    <row r="792" spans="1:17" ht="13.5">
      <c r="A792" s="693"/>
      <c r="B792" s="693"/>
      <c r="C792" s="693"/>
      <c r="D792" s="693"/>
      <c r="E792" s="693"/>
      <c r="F792" s="693"/>
      <c r="G792" s="693"/>
      <c r="H792" s="693"/>
      <c r="I792" s="693"/>
      <c r="J792" s="693"/>
      <c r="K792" s="693"/>
      <c r="L792" s="693"/>
      <c r="M792" s="693"/>
      <c r="N792" s="693"/>
      <c r="O792" s="693"/>
      <c r="P792" s="693"/>
      <c r="Q792" s="693"/>
    </row>
    <row r="793" spans="1:17" ht="13.5">
      <c r="A793" s="693"/>
      <c r="B793" s="693"/>
      <c r="C793" s="693"/>
      <c r="D793" s="693"/>
      <c r="E793" s="693"/>
      <c r="F793" s="693"/>
      <c r="G793" s="693"/>
      <c r="H793" s="693"/>
      <c r="I793" s="693"/>
      <c r="J793" s="693"/>
      <c r="K793" s="693"/>
      <c r="L793" s="693"/>
      <c r="M793" s="693"/>
      <c r="N793" s="693"/>
      <c r="O793" s="693"/>
      <c r="P793" s="693"/>
      <c r="Q793" s="693"/>
    </row>
    <row r="794" spans="1:17" ht="13.5">
      <c r="A794" s="693"/>
      <c r="B794" s="693"/>
      <c r="C794" s="693"/>
      <c r="D794" s="693"/>
      <c r="E794" s="693"/>
      <c r="F794" s="693"/>
      <c r="G794" s="693"/>
      <c r="H794" s="693"/>
      <c r="I794" s="693"/>
      <c r="J794" s="693"/>
      <c r="K794" s="693"/>
      <c r="L794" s="693"/>
      <c r="M794" s="693"/>
      <c r="N794" s="693"/>
      <c r="O794" s="693"/>
      <c r="P794" s="693"/>
      <c r="Q794" s="693"/>
    </row>
    <row r="795" spans="1:17" ht="13.5">
      <c r="A795" s="693"/>
      <c r="B795" s="693"/>
      <c r="C795" s="693"/>
      <c r="D795" s="693"/>
      <c r="E795" s="693"/>
      <c r="F795" s="693"/>
      <c r="G795" s="693"/>
      <c r="H795" s="693"/>
      <c r="I795" s="693"/>
      <c r="J795" s="693"/>
      <c r="K795" s="693"/>
      <c r="L795" s="693"/>
      <c r="M795" s="693"/>
      <c r="N795" s="693"/>
      <c r="O795" s="693"/>
      <c r="P795" s="693"/>
      <c r="Q795" s="693"/>
    </row>
    <row r="796" spans="1:17" ht="13.5">
      <c r="A796" s="693"/>
      <c r="B796" s="693"/>
      <c r="C796" s="693"/>
      <c r="D796" s="693"/>
      <c r="E796" s="693"/>
      <c r="F796" s="693"/>
      <c r="G796" s="693"/>
      <c r="H796" s="693"/>
      <c r="I796" s="693"/>
      <c r="J796" s="693"/>
      <c r="K796" s="693"/>
      <c r="L796" s="693"/>
      <c r="M796" s="693"/>
      <c r="N796" s="693"/>
      <c r="O796" s="693"/>
      <c r="P796" s="693"/>
      <c r="Q796" s="693"/>
    </row>
    <row r="797" spans="1:17" ht="13.5">
      <c r="A797" s="693"/>
      <c r="B797" s="693"/>
      <c r="C797" s="693"/>
      <c r="D797" s="693"/>
      <c r="E797" s="693"/>
      <c r="F797" s="693"/>
      <c r="G797" s="693"/>
      <c r="H797" s="693"/>
      <c r="I797" s="693"/>
      <c r="J797" s="693"/>
      <c r="K797" s="693"/>
      <c r="L797" s="693"/>
      <c r="M797" s="693"/>
      <c r="N797" s="693"/>
      <c r="O797" s="693"/>
      <c r="P797" s="693"/>
      <c r="Q797" s="693"/>
    </row>
    <row r="798" spans="1:17" ht="13.5">
      <c r="A798" s="693"/>
      <c r="B798" s="693"/>
      <c r="C798" s="693"/>
      <c r="D798" s="693"/>
      <c r="E798" s="693"/>
      <c r="F798" s="693"/>
      <c r="G798" s="693"/>
      <c r="H798" s="693"/>
      <c r="I798" s="693"/>
      <c r="J798" s="693"/>
      <c r="K798" s="693"/>
      <c r="L798" s="693"/>
      <c r="M798" s="693"/>
      <c r="N798" s="693"/>
      <c r="O798" s="693"/>
      <c r="P798" s="693"/>
      <c r="Q798" s="693"/>
    </row>
    <row r="799" spans="1:17" ht="13.5">
      <c r="A799" s="693"/>
      <c r="B799" s="693"/>
      <c r="C799" s="693"/>
      <c r="D799" s="693"/>
      <c r="E799" s="693"/>
      <c r="F799" s="693"/>
      <c r="G799" s="693"/>
      <c r="H799" s="693"/>
      <c r="I799" s="693"/>
      <c r="J799" s="693"/>
      <c r="K799" s="693"/>
      <c r="L799" s="693"/>
      <c r="M799" s="693"/>
      <c r="N799" s="693"/>
      <c r="O799" s="693"/>
      <c r="P799" s="693"/>
      <c r="Q799" s="693"/>
    </row>
    <row r="800" spans="1:17" ht="13.5">
      <c r="A800" s="693"/>
      <c r="B800" s="693"/>
      <c r="C800" s="693"/>
      <c r="D800" s="693"/>
      <c r="E800" s="693"/>
      <c r="F800" s="693"/>
      <c r="G800" s="693"/>
      <c r="H800" s="693"/>
      <c r="I800" s="693"/>
      <c r="J800" s="693"/>
      <c r="K800" s="693"/>
      <c r="L800" s="693"/>
      <c r="M800" s="693"/>
      <c r="N800" s="693"/>
      <c r="O800" s="693"/>
      <c r="P800" s="693"/>
      <c r="Q800" s="693"/>
    </row>
    <row r="801" spans="1:17" ht="13.5">
      <c r="A801" s="693"/>
      <c r="B801" s="693"/>
      <c r="C801" s="693"/>
      <c r="D801" s="693"/>
      <c r="E801" s="693"/>
      <c r="F801" s="693"/>
      <c r="G801" s="693"/>
      <c r="H801" s="693"/>
      <c r="I801" s="693"/>
      <c r="J801" s="693"/>
      <c r="K801" s="693"/>
      <c r="L801" s="693"/>
      <c r="M801" s="693"/>
      <c r="N801" s="693"/>
      <c r="O801" s="693"/>
      <c r="P801" s="693"/>
      <c r="Q801" s="693"/>
    </row>
    <row r="802" spans="1:17" ht="13.5">
      <c r="A802" s="693"/>
      <c r="B802" s="693"/>
      <c r="C802" s="693"/>
      <c r="D802" s="693"/>
      <c r="E802" s="693"/>
      <c r="F802" s="693"/>
      <c r="G802" s="693"/>
      <c r="H802" s="693"/>
      <c r="I802" s="693"/>
      <c r="J802" s="693"/>
      <c r="K802" s="693"/>
      <c r="L802" s="693"/>
      <c r="M802" s="693"/>
      <c r="N802" s="693"/>
      <c r="O802" s="693"/>
      <c r="P802" s="693"/>
      <c r="Q802" s="693"/>
    </row>
    <row r="803" spans="1:17" ht="13.5">
      <c r="A803" s="693"/>
      <c r="B803" s="693"/>
      <c r="C803" s="693"/>
      <c r="D803" s="693"/>
      <c r="E803" s="693"/>
      <c r="F803" s="693"/>
      <c r="G803" s="693"/>
      <c r="H803" s="693"/>
      <c r="I803" s="693"/>
      <c r="J803" s="693"/>
      <c r="K803" s="693"/>
      <c r="L803" s="693"/>
      <c r="M803" s="693"/>
      <c r="N803" s="693"/>
      <c r="O803" s="693"/>
      <c r="P803" s="693"/>
      <c r="Q803" s="693"/>
    </row>
    <row r="804" spans="1:17" ht="13.5">
      <c r="A804" s="693"/>
      <c r="B804" s="693"/>
      <c r="C804" s="693"/>
      <c r="D804" s="693"/>
      <c r="E804" s="693"/>
      <c r="F804" s="693"/>
      <c r="G804" s="693"/>
      <c r="H804" s="693"/>
      <c r="I804" s="693"/>
      <c r="J804" s="693"/>
      <c r="K804" s="693"/>
      <c r="L804" s="693"/>
      <c r="M804" s="693"/>
      <c r="N804" s="693"/>
      <c r="O804" s="693"/>
      <c r="P804" s="693"/>
      <c r="Q804" s="693"/>
    </row>
    <row r="805" spans="1:17" ht="13.5">
      <c r="A805" s="693"/>
      <c r="B805" s="693"/>
      <c r="C805" s="693"/>
      <c r="D805" s="693"/>
      <c r="E805" s="693"/>
      <c r="F805" s="693"/>
      <c r="G805" s="693"/>
      <c r="H805" s="693"/>
      <c r="I805" s="693"/>
      <c r="J805" s="693"/>
      <c r="K805" s="693"/>
      <c r="L805" s="693"/>
      <c r="M805" s="693"/>
      <c r="N805" s="693"/>
      <c r="O805" s="693"/>
      <c r="P805" s="693"/>
      <c r="Q805" s="693"/>
    </row>
    <row r="806" spans="1:17" ht="13.5">
      <c r="A806" s="693"/>
      <c r="B806" s="693"/>
      <c r="C806" s="693"/>
      <c r="D806" s="693"/>
      <c r="E806" s="693"/>
      <c r="F806" s="693"/>
      <c r="G806" s="693"/>
      <c r="H806" s="693"/>
      <c r="I806" s="693"/>
      <c r="J806" s="693"/>
      <c r="K806" s="693"/>
      <c r="L806" s="693"/>
      <c r="M806" s="693"/>
      <c r="N806" s="693"/>
      <c r="O806" s="693"/>
      <c r="P806" s="693"/>
      <c r="Q806" s="693"/>
    </row>
    <row r="807" spans="1:17" ht="13.5">
      <c r="A807" s="693"/>
      <c r="B807" s="693"/>
      <c r="C807" s="693"/>
      <c r="D807" s="693"/>
      <c r="E807" s="693"/>
      <c r="F807" s="693"/>
      <c r="G807" s="693"/>
      <c r="H807" s="693"/>
      <c r="I807" s="693"/>
      <c r="J807" s="693"/>
      <c r="K807" s="693"/>
      <c r="L807" s="693"/>
      <c r="M807" s="693"/>
      <c r="N807" s="693"/>
      <c r="O807" s="693"/>
      <c r="P807" s="693"/>
      <c r="Q807" s="693"/>
    </row>
    <row r="808" spans="1:17" ht="13.5">
      <c r="A808" s="693"/>
      <c r="B808" s="693"/>
      <c r="C808" s="693"/>
      <c r="D808" s="693"/>
      <c r="E808" s="693"/>
      <c r="F808" s="693"/>
      <c r="G808" s="693"/>
      <c r="H808" s="693"/>
      <c r="I808" s="693"/>
      <c r="J808" s="693"/>
      <c r="K808" s="693"/>
      <c r="L808" s="693"/>
      <c r="M808" s="693"/>
      <c r="N808" s="693"/>
      <c r="O808" s="693"/>
      <c r="P808" s="693"/>
      <c r="Q808" s="693"/>
    </row>
    <row r="809" spans="1:17" ht="13.5">
      <c r="A809" s="693"/>
      <c r="B809" s="693"/>
      <c r="C809" s="693"/>
      <c r="D809" s="693"/>
      <c r="E809" s="693"/>
      <c r="F809" s="693"/>
      <c r="G809" s="693"/>
      <c r="H809" s="693"/>
      <c r="I809" s="693"/>
      <c r="J809" s="693"/>
      <c r="K809" s="693"/>
      <c r="L809" s="693"/>
      <c r="M809" s="693"/>
      <c r="N809" s="693"/>
      <c r="O809" s="693"/>
      <c r="P809" s="693"/>
      <c r="Q809" s="693"/>
    </row>
    <row r="810" spans="1:17" ht="13.5">
      <c r="A810" s="693"/>
      <c r="B810" s="693"/>
      <c r="C810" s="693"/>
      <c r="D810" s="693"/>
      <c r="E810" s="693"/>
      <c r="F810" s="693"/>
      <c r="G810" s="693"/>
      <c r="H810" s="693"/>
      <c r="I810" s="693"/>
      <c r="J810" s="693"/>
      <c r="K810" s="693"/>
      <c r="L810" s="693"/>
      <c r="M810" s="693"/>
      <c r="N810" s="693"/>
      <c r="O810" s="693"/>
      <c r="P810" s="693"/>
      <c r="Q810" s="693"/>
    </row>
    <row r="811" spans="1:17" ht="13.5">
      <c r="A811" s="693"/>
      <c r="B811" s="693"/>
      <c r="C811" s="693"/>
      <c r="D811" s="693"/>
      <c r="E811" s="693"/>
      <c r="F811" s="693"/>
      <c r="G811" s="693"/>
      <c r="H811" s="693"/>
      <c r="I811" s="693"/>
      <c r="J811" s="693"/>
      <c r="K811" s="693"/>
      <c r="L811" s="693"/>
      <c r="M811" s="693"/>
      <c r="N811" s="693"/>
      <c r="O811" s="693"/>
      <c r="P811" s="693"/>
      <c r="Q811" s="693"/>
    </row>
    <row r="812" spans="1:17" ht="13.5">
      <c r="A812" s="693"/>
      <c r="B812" s="693"/>
      <c r="C812" s="693"/>
      <c r="D812" s="693"/>
      <c r="E812" s="693"/>
      <c r="F812" s="693"/>
      <c r="G812" s="693"/>
      <c r="H812" s="693"/>
      <c r="I812" s="693"/>
      <c r="J812" s="693"/>
      <c r="K812" s="693"/>
      <c r="L812" s="693"/>
      <c r="M812" s="693"/>
      <c r="N812" s="693"/>
      <c r="O812" s="693"/>
      <c r="P812" s="693"/>
      <c r="Q812" s="693"/>
    </row>
    <row r="813" spans="1:17" ht="13.5">
      <c r="A813" s="693"/>
      <c r="B813" s="693"/>
      <c r="C813" s="693"/>
      <c r="D813" s="693"/>
      <c r="E813" s="693"/>
      <c r="F813" s="693"/>
      <c r="G813" s="693"/>
      <c r="H813" s="693"/>
      <c r="I813" s="693"/>
      <c r="J813" s="693"/>
      <c r="K813" s="693"/>
      <c r="L813" s="693"/>
      <c r="M813" s="693"/>
      <c r="N813" s="693"/>
      <c r="O813" s="693"/>
      <c r="P813" s="693"/>
      <c r="Q813" s="693"/>
    </row>
    <row r="814" spans="1:17" ht="13.5">
      <c r="A814" s="693"/>
      <c r="B814" s="693"/>
      <c r="C814" s="693"/>
      <c r="D814" s="693"/>
      <c r="E814" s="693"/>
      <c r="F814" s="693"/>
      <c r="G814" s="693"/>
      <c r="H814" s="693"/>
      <c r="I814" s="693"/>
      <c r="J814" s="693"/>
      <c r="K814" s="693"/>
      <c r="L814" s="693"/>
      <c r="M814" s="693"/>
      <c r="N814" s="693"/>
      <c r="O814" s="693"/>
      <c r="P814" s="693"/>
      <c r="Q814" s="693"/>
    </row>
    <row r="815" spans="1:17" ht="13.5">
      <c r="A815" s="693"/>
      <c r="B815" s="693"/>
      <c r="C815" s="693"/>
      <c r="D815" s="693"/>
      <c r="E815" s="693"/>
      <c r="F815" s="693"/>
      <c r="G815" s="693"/>
      <c r="H815" s="693"/>
      <c r="I815" s="693"/>
      <c r="J815" s="693"/>
      <c r="K815" s="693"/>
      <c r="L815" s="693"/>
      <c r="M815" s="693"/>
      <c r="N815" s="693"/>
      <c r="O815" s="693"/>
      <c r="P815" s="693"/>
      <c r="Q815" s="693"/>
    </row>
    <row r="816" spans="1:17" ht="13.5">
      <c r="A816" s="693"/>
      <c r="B816" s="693"/>
      <c r="C816" s="693"/>
      <c r="D816" s="693"/>
      <c r="E816" s="693"/>
      <c r="F816" s="693"/>
      <c r="G816" s="693"/>
      <c r="H816" s="693"/>
      <c r="I816" s="693"/>
      <c r="J816" s="693"/>
      <c r="K816" s="693"/>
      <c r="L816" s="693"/>
      <c r="M816" s="693"/>
      <c r="N816" s="693"/>
      <c r="O816" s="693"/>
      <c r="P816" s="693"/>
      <c r="Q816" s="693"/>
    </row>
    <row r="817" spans="1:17" ht="13.5">
      <c r="A817" s="693"/>
      <c r="B817" s="693"/>
      <c r="C817" s="693"/>
      <c r="D817" s="693"/>
      <c r="E817" s="693"/>
      <c r="F817" s="693"/>
      <c r="G817" s="693"/>
      <c r="H817" s="693"/>
      <c r="I817" s="693"/>
      <c r="J817" s="693"/>
      <c r="K817" s="693"/>
      <c r="L817" s="693"/>
      <c r="M817" s="693"/>
      <c r="N817" s="693"/>
      <c r="O817" s="693"/>
      <c r="P817" s="693"/>
      <c r="Q817" s="693"/>
    </row>
    <row r="818" spans="1:17" ht="13.5">
      <c r="A818" s="693"/>
      <c r="B818" s="693"/>
      <c r="C818" s="693"/>
      <c r="D818" s="693"/>
      <c r="E818" s="693"/>
      <c r="F818" s="693"/>
      <c r="G818" s="693"/>
      <c r="H818" s="693"/>
      <c r="I818" s="693"/>
      <c r="J818" s="693"/>
      <c r="K818" s="693"/>
      <c r="L818" s="693"/>
      <c r="M818" s="693"/>
      <c r="N818" s="693"/>
      <c r="O818" s="693"/>
      <c r="P818" s="693"/>
      <c r="Q818" s="693"/>
    </row>
    <row r="819" spans="1:17" ht="13.5">
      <c r="A819" s="693"/>
      <c r="B819" s="693"/>
      <c r="C819" s="693"/>
      <c r="D819" s="693"/>
      <c r="E819" s="693"/>
      <c r="F819" s="693"/>
      <c r="G819" s="693"/>
      <c r="H819" s="693"/>
      <c r="I819" s="693"/>
      <c r="J819" s="693"/>
      <c r="K819" s="693"/>
      <c r="L819" s="693"/>
      <c r="M819" s="693"/>
      <c r="N819" s="693"/>
      <c r="O819" s="693"/>
      <c r="P819" s="693"/>
      <c r="Q819" s="693"/>
    </row>
    <row r="820" spans="1:17" ht="13.5">
      <c r="A820" s="693"/>
      <c r="B820" s="693"/>
      <c r="C820" s="693"/>
      <c r="D820" s="693"/>
      <c r="E820" s="693"/>
      <c r="F820" s="693"/>
      <c r="G820" s="693"/>
      <c r="H820" s="693"/>
      <c r="I820" s="693"/>
      <c r="J820" s="693"/>
      <c r="K820" s="693"/>
      <c r="L820" s="693"/>
      <c r="M820" s="693"/>
      <c r="N820" s="693"/>
      <c r="O820" s="693"/>
      <c r="P820" s="693"/>
      <c r="Q820" s="693"/>
    </row>
    <row r="821" spans="1:17" ht="13.5">
      <c r="A821" s="693"/>
      <c r="B821" s="693"/>
      <c r="C821" s="693"/>
      <c r="D821" s="693"/>
      <c r="E821" s="693"/>
      <c r="F821" s="693"/>
      <c r="G821" s="693"/>
      <c r="H821" s="693"/>
      <c r="I821" s="693"/>
      <c r="J821" s="693"/>
      <c r="K821" s="693"/>
      <c r="L821" s="693"/>
      <c r="M821" s="693"/>
      <c r="N821" s="693"/>
      <c r="O821" s="693"/>
      <c r="P821" s="693"/>
      <c r="Q821" s="693"/>
    </row>
    <row r="822" spans="1:17" ht="13.5">
      <c r="A822" s="693"/>
      <c r="B822" s="693"/>
      <c r="C822" s="693"/>
      <c r="D822" s="693"/>
      <c r="E822" s="693"/>
      <c r="F822" s="693"/>
      <c r="G822" s="693"/>
      <c r="H822" s="693"/>
      <c r="I822" s="693"/>
      <c r="J822" s="693"/>
      <c r="K822" s="693"/>
      <c r="L822" s="693"/>
      <c r="M822" s="693"/>
      <c r="N822" s="693"/>
      <c r="O822" s="693"/>
      <c r="P822" s="693"/>
      <c r="Q822" s="693"/>
    </row>
    <row r="823" spans="1:17" ht="13.5">
      <c r="A823" s="693"/>
      <c r="B823" s="693"/>
      <c r="C823" s="693"/>
      <c r="D823" s="693"/>
      <c r="E823" s="693"/>
      <c r="F823" s="693"/>
      <c r="G823" s="693"/>
      <c r="H823" s="693"/>
      <c r="I823" s="693"/>
      <c r="J823" s="693"/>
      <c r="K823" s="693"/>
      <c r="L823" s="693"/>
      <c r="M823" s="693"/>
      <c r="N823" s="693"/>
      <c r="O823" s="693"/>
      <c r="P823" s="693"/>
      <c r="Q823" s="693"/>
    </row>
    <row r="824" spans="1:17" ht="13.5">
      <c r="A824" s="693"/>
      <c r="B824" s="693"/>
      <c r="C824" s="693"/>
      <c r="D824" s="693"/>
      <c r="E824" s="693"/>
      <c r="F824" s="693"/>
      <c r="G824" s="693"/>
      <c r="H824" s="693"/>
      <c r="I824" s="693"/>
      <c r="J824" s="693"/>
      <c r="K824" s="693"/>
      <c r="L824" s="693"/>
      <c r="M824" s="693"/>
      <c r="N824" s="693"/>
      <c r="O824" s="693"/>
      <c r="P824" s="693"/>
      <c r="Q824" s="693"/>
    </row>
    <row r="825" spans="1:17" ht="13.5">
      <c r="A825" s="693"/>
      <c r="B825" s="693"/>
      <c r="C825" s="693"/>
      <c r="D825" s="693"/>
      <c r="E825" s="693"/>
      <c r="F825" s="693"/>
      <c r="G825" s="693"/>
      <c r="H825" s="693"/>
      <c r="I825" s="693"/>
      <c r="J825" s="693"/>
      <c r="K825" s="693"/>
      <c r="L825" s="693"/>
      <c r="M825" s="693"/>
      <c r="N825" s="693"/>
      <c r="O825" s="693"/>
      <c r="P825" s="693"/>
      <c r="Q825" s="693"/>
    </row>
    <row r="826" spans="1:17" ht="13.5">
      <c r="A826" s="693"/>
      <c r="B826" s="693"/>
      <c r="C826" s="693"/>
      <c r="D826" s="693"/>
      <c r="E826" s="693"/>
      <c r="F826" s="693"/>
      <c r="G826" s="693"/>
      <c r="H826" s="693"/>
      <c r="I826" s="693"/>
      <c r="J826" s="693"/>
      <c r="K826" s="693"/>
      <c r="L826" s="693"/>
      <c r="M826" s="693"/>
      <c r="N826" s="693"/>
      <c r="O826" s="693"/>
      <c r="P826" s="693"/>
      <c r="Q826" s="693"/>
    </row>
    <row r="827" spans="1:17" ht="13.5">
      <c r="A827" s="693"/>
      <c r="B827" s="693"/>
      <c r="C827" s="693"/>
      <c r="D827" s="693"/>
      <c r="E827" s="693"/>
      <c r="F827" s="693"/>
      <c r="G827" s="693"/>
      <c r="H827" s="693"/>
      <c r="I827" s="693"/>
      <c r="J827" s="693"/>
      <c r="K827" s="693"/>
      <c r="L827" s="693"/>
      <c r="M827" s="693"/>
      <c r="N827" s="693"/>
      <c r="O827" s="693"/>
      <c r="P827" s="693"/>
      <c r="Q827" s="693"/>
    </row>
    <row r="828" spans="1:17" ht="13.5">
      <c r="A828" s="693"/>
      <c r="B828" s="693"/>
      <c r="C828" s="693"/>
      <c r="D828" s="693"/>
      <c r="E828" s="693"/>
      <c r="F828" s="693"/>
      <c r="G828" s="693"/>
      <c r="H828" s="693"/>
      <c r="I828" s="693"/>
      <c r="J828" s="693"/>
      <c r="K828" s="693"/>
      <c r="L828" s="693"/>
      <c r="M828" s="693"/>
      <c r="N828" s="693"/>
      <c r="O828" s="693"/>
      <c r="P828" s="693"/>
      <c r="Q828" s="693"/>
    </row>
    <row r="829" spans="1:17" ht="13.5">
      <c r="A829" s="693"/>
      <c r="B829" s="693"/>
      <c r="C829" s="693"/>
      <c r="D829" s="693"/>
      <c r="E829" s="693"/>
      <c r="F829" s="693"/>
      <c r="G829" s="693"/>
      <c r="H829" s="693"/>
      <c r="I829" s="693"/>
      <c r="J829" s="693"/>
      <c r="K829" s="693"/>
      <c r="L829" s="693"/>
      <c r="M829" s="693"/>
      <c r="N829" s="693"/>
      <c r="O829" s="693"/>
      <c r="P829" s="693"/>
      <c r="Q829" s="693"/>
    </row>
    <row r="830" spans="1:17" ht="13.5">
      <c r="A830" s="693"/>
      <c r="B830" s="693"/>
      <c r="C830" s="693"/>
      <c r="D830" s="693"/>
      <c r="E830" s="693"/>
      <c r="F830" s="693"/>
      <c r="G830" s="693"/>
      <c r="H830" s="693"/>
      <c r="I830" s="693"/>
      <c r="J830" s="693"/>
      <c r="K830" s="693"/>
      <c r="L830" s="693"/>
      <c r="M830" s="693"/>
      <c r="N830" s="693"/>
      <c r="O830" s="693"/>
      <c r="P830" s="693"/>
      <c r="Q830" s="693"/>
    </row>
    <row r="831" spans="1:17" ht="13.5">
      <c r="A831" s="693"/>
      <c r="B831" s="693"/>
      <c r="C831" s="693"/>
      <c r="D831" s="693"/>
      <c r="E831" s="693"/>
      <c r="F831" s="693"/>
      <c r="G831" s="693"/>
      <c r="H831" s="693"/>
      <c r="I831" s="693"/>
      <c r="J831" s="693"/>
      <c r="K831" s="693"/>
      <c r="L831" s="693"/>
      <c r="M831" s="693"/>
      <c r="N831" s="693"/>
      <c r="O831" s="693"/>
      <c r="P831" s="693"/>
      <c r="Q831" s="693"/>
    </row>
    <row r="832" spans="1:17" ht="13.5">
      <c r="A832" s="693"/>
      <c r="B832" s="693"/>
      <c r="C832" s="693"/>
      <c r="D832" s="693"/>
      <c r="E832" s="693"/>
      <c r="F832" s="693"/>
      <c r="G832" s="693"/>
      <c r="H832" s="693"/>
      <c r="I832" s="693"/>
      <c r="J832" s="693"/>
      <c r="K832" s="693"/>
      <c r="L832" s="693"/>
      <c r="M832" s="693"/>
      <c r="N832" s="693"/>
      <c r="O832" s="693"/>
      <c r="P832" s="693"/>
      <c r="Q832" s="693"/>
    </row>
    <row r="833" spans="1:17" ht="13.5">
      <c r="A833" s="693"/>
      <c r="B833" s="693"/>
      <c r="C833" s="693"/>
      <c r="D833" s="693"/>
      <c r="E833" s="693"/>
      <c r="F833" s="693"/>
      <c r="G833" s="693"/>
      <c r="H833" s="693"/>
      <c r="I833" s="693"/>
      <c r="J833" s="693"/>
      <c r="K833" s="693"/>
      <c r="L833" s="693"/>
      <c r="M833" s="693"/>
      <c r="N833" s="693"/>
      <c r="O833" s="693"/>
      <c r="P833" s="693"/>
      <c r="Q833" s="693"/>
    </row>
    <row r="834" spans="1:17" ht="13.5">
      <c r="A834" s="693"/>
      <c r="B834" s="693"/>
      <c r="C834" s="693"/>
      <c r="D834" s="693"/>
      <c r="E834" s="693"/>
      <c r="F834" s="693"/>
      <c r="G834" s="693"/>
      <c r="H834" s="693"/>
      <c r="I834" s="693"/>
      <c r="J834" s="693"/>
      <c r="K834" s="693"/>
      <c r="L834" s="693"/>
      <c r="M834" s="693"/>
      <c r="N834" s="693"/>
      <c r="O834" s="693"/>
      <c r="P834" s="693"/>
      <c r="Q834" s="693"/>
    </row>
    <row r="835" spans="1:17" ht="13.5">
      <c r="A835" s="693"/>
      <c r="B835" s="693"/>
      <c r="C835" s="693"/>
      <c r="D835" s="693"/>
      <c r="E835" s="693"/>
      <c r="F835" s="693"/>
      <c r="G835" s="693"/>
      <c r="H835" s="693"/>
      <c r="I835" s="693"/>
      <c r="J835" s="693"/>
      <c r="K835" s="693"/>
      <c r="L835" s="693"/>
      <c r="M835" s="693"/>
      <c r="N835" s="693"/>
      <c r="O835" s="693"/>
      <c r="P835" s="693"/>
      <c r="Q835" s="693"/>
    </row>
    <row r="836" spans="1:17" ht="13.5">
      <c r="A836" s="693"/>
      <c r="B836" s="693"/>
      <c r="C836" s="693"/>
      <c r="D836" s="693"/>
      <c r="E836" s="693"/>
      <c r="F836" s="693"/>
      <c r="G836" s="693"/>
      <c r="H836" s="693"/>
      <c r="I836" s="693"/>
      <c r="J836" s="693"/>
      <c r="K836" s="693"/>
      <c r="L836" s="693"/>
      <c r="M836" s="693"/>
      <c r="N836" s="693"/>
      <c r="O836" s="693"/>
      <c r="P836" s="693"/>
      <c r="Q836" s="693"/>
    </row>
    <row r="837" spans="1:17" ht="13.5">
      <c r="A837" s="693"/>
      <c r="B837" s="693"/>
      <c r="C837" s="693"/>
      <c r="D837" s="693"/>
      <c r="E837" s="693"/>
      <c r="F837" s="693"/>
      <c r="G837" s="693"/>
      <c r="H837" s="693"/>
      <c r="I837" s="693"/>
      <c r="J837" s="693"/>
      <c r="K837" s="693"/>
      <c r="L837" s="693"/>
      <c r="M837" s="693"/>
      <c r="N837" s="693"/>
      <c r="O837" s="693"/>
      <c r="P837" s="693"/>
      <c r="Q837" s="693"/>
    </row>
    <row r="838" spans="1:17" ht="13.5">
      <c r="A838" s="693"/>
      <c r="B838" s="693"/>
      <c r="C838" s="693"/>
      <c r="D838" s="693"/>
      <c r="E838" s="693"/>
      <c r="F838" s="693"/>
      <c r="G838" s="693"/>
      <c r="H838" s="693"/>
      <c r="I838" s="693"/>
      <c r="J838" s="693"/>
      <c r="K838" s="693"/>
      <c r="L838" s="693"/>
      <c r="M838" s="693"/>
      <c r="N838" s="693"/>
      <c r="O838" s="693"/>
      <c r="P838" s="693"/>
      <c r="Q838" s="693"/>
    </row>
    <row r="839" spans="1:17" ht="13.5">
      <c r="A839" s="693"/>
      <c r="B839" s="693"/>
      <c r="C839" s="693"/>
      <c r="D839" s="693"/>
      <c r="E839" s="693"/>
      <c r="F839" s="693"/>
      <c r="G839" s="693"/>
      <c r="H839" s="693"/>
      <c r="I839" s="693"/>
      <c r="J839" s="693"/>
      <c r="K839" s="693"/>
      <c r="L839" s="693"/>
      <c r="M839" s="693"/>
      <c r="N839" s="693"/>
      <c r="O839" s="693"/>
      <c r="P839" s="693"/>
      <c r="Q839" s="693"/>
    </row>
    <row r="840" spans="1:17" ht="13.5">
      <c r="A840" s="693"/>
      <c r="B840" s="693"/>
      <c r="C840" s="693"/>
      <c r="D840" s="693"/>
      <c r="E840" s="693"/>
      <c r="F840" s="693"/>
      <c r="G840" s="693"/>
      <c r="H840" s="693"/>
      <c r="I840" s="693"/>
      <c r="J840" s="693"/>
      <c r="K840" s="693"/>
      <c r="L840" s="693"/>
      <c r="M840" s="693"/>
      <c r="N840" s="693"/>
      <c r="O840" s="693"/>
      <c r="P840" s="693"/>
      <c r="Q840" s="693"/>
    </row>
    <row r="841" spans="1:17" ht="13.5">
      <c r="A841" s="693"/>
      <c r="B841" s="693"/>
      <c r="C841" s="693"/>
      <c r="D841" s="693"/>
      <c r="E841" s="693"/>
      <c r="F841" s="693"/>
      <c r="G841" s="693"/>
      <c r="H841" s="693"/>
      <c r="I841" s="693"/>
      <c r="J841" s="693"/>
      <c r="K841" s="693"/>
      <c r="L841" s="693"/>
      <c r="M841" s="693"/>
      <c r="N841" s="693"/>
      <c r="O841" s="693"/>
      <c r="P841" s="693"/>
      <c r="Q841" s="693"/>
    </row>
    <row r="842" spans="1:17" ht="13.5">
      <c r="A842" s="693"/>
      <c r="B842" s="693"/>
      <c r="C842" s="693"/>
      <c r="D842" s="693"/>
      <c r="E842" s="693"/>
      <c r="F842" s="693"/>
      <c r="G842" s="693"/>
      <c r="H842" s="693"/>
      <c r="I842" s="693"/>
      <c r="J842" s="693"/>
      <c r="K842" s="693"/>
      <c r="L842" s="693"/>
      <c r="M842" s="693"/>
      <c r="N842" s="693"/>
      <c r="O842" s="693"/>
      <c r="P842" s="693"/>
      <c r="Q842" s="693"/>
    </row>
    <row r="843" spans="1:17" ht="13.5">
      <c r="A843" s="693"/>
      <c r="B843" s="693"/>
      <c r="C843" s="693"/>
      <c r="D843" s="693"/>
      <c r="E843" s="693"/>
      <c r="F843" s="693"/>
      <c r="G843" s="693"/>
      <c r="H843" s="693"/>
      <c r="I843" s="693"/>
      <c r="J843" s="693"/>
      <c r="K843" s="693"/>
      <c r="L843" s="693"/>
      <c r="M843" s="693"/>
      <c r="N843" s="693"/>
      <c r="O843" s="693"/>
      <c r="P843" s="693"/>
      <c r="Q843" s="693"/>
    </row>
    <row r="844" spans="1:17" ht="13.5">
      <c r="A844" s="693"/>
      <c r="B844" s="693"/>
      <c r="C844" s="693"/>
      <c r="D844" s="693"/>
      <c r="E844" s="693"/>
      <c r="F844" s="693"/>
      <c r="G844" s="693"/>
      <c r="H844" s="693"/>
      <c r="I844" s="693"/>
      <c r="J844" s="693"/>
      <c r="K844" s="693"/>
      <c r="L844" s="693"/>
      <c r="M844" s="693"/>
      <c r="N844" s="693"/>
      <c r="O844" s="693"/>
      <c r="P844" s="693"/>
      <c r="Q844" s="693"/>
    </row>
    <row r="845" spans="1:17" ht="13.5">
      <c r="A845" s="693"/>
      <c r="B845" s="693"/>
      <c r="C845" s="693"/>
      <c r="D845" s="693"/>
      <c r="E845" s="693"/>
      <c r="F845" s="693"/>
      <c r="G845" s="693"/>
      <c r="H845" s="693"/>
      <c r="I845" s="693"/>
      <c r="J845" s="693"/>
      <c r="K845" s="693"/>
      <c r="L845" s="693"/>
      <c r="M845" s="693"/>
      <c r="N845" s="693"/>
      <c r="O845" s="693"/>
      <c r="P845" s="693"/>
      <c r="Q845" s="693"/>
    </row>
    <row r="846" spans="1:17" ht="13.5">
      <c r="A846" s="693"/>
      <c r="B846" s="693"/>
      <c r="C846" s="693"/>
      <c r="D846" s="693"/>
      <c r="E846" s="693"/>
      <c r="F846" s="693"/>
      <c r="G846" s="693"/>
      <c r="H846" s="693"/>
      <c r="I846" s="693"/>
      <c r="J846" s="693"/>
      <c r="K846" s="693"/>
      <c r="L846" s="693"/>
      <c r="M846" s="693"/>
      <c r="N846" s="693"/>
      <c r="O846" s="693"/>
      <c r="P846" s="693"/>
      <c r="Q846" s="693"/>
    </row>
    <row r="847" spans="1:17" ht="13.5">
      <c r="A847" s="693"/>
      <c r="B847" s="693"/>
      <c r="C847" s="693"/>
      <c r="D847" s="693"/>
      <c r="E847" s="693"/>
      <c r="F847" s="693"/>
      <c r="G847" s="693"/>
      <c r="H847" s="693"/>
      <c r="I847" s="693"/>
      <c r="J847" s="693"/>
      <c r="K847" s="693"/>
      <c r="L847" s="693"/>
      <c r="M847" s="693"/>
      <c r="N847" s="693"/>
      <c r="O847" s="693"/>
      <c r="P847" s="693"/>
      <c r="Q847" s="693"/>
    </row>
    <row r="848" spans="1:17" ht="13.5">
      <c r="A848" s="693"/>
      <c r="B848" s="693"/>
      <c r="C848" s="693"/>
      <c r="D848" s="693"/>
      <c r="E848" s="693"/>
      <c r="F848" s="693"/>
      <c r="G848" s="693"/>
      <c r="H848" s="693"/>
      <c r="I848" s="693"/>
      <c r="J848" s="693"/>
      <c r="K848" s="693"/>
      <c r="L848" s="693"/>
      <c r="M848" s="693"/>
      <c r="N848" s="693"/>
      <c r="O848" s="693"/>
      <c r="P848" s="693"/>
      <c r="Q848" s="693"/>
    </row>
    <row r="849" spans="1:17" ht="13.5">
      <c r="A849" s="693"/>
      <c r="B849" s="693"/>
      <c r="C849" s="693"/>
      <c r="D849" s="693"/>
      <c r="E849" s="693"/>
      <c r="F849" s="693"/>
      <c r="G849" s="693"/>
      <c r="H849" s="693"/>
      <c r="I849" s="693"/>
      <c r="J849" s="693"/>
      <c r="K849" s="693"/>
      <c r="L849" s="693"/>
      <c r="M849" s="693"/>
      <c r="N849" s="693"/>
      <c r="O849" s="693"/>
      <c r="P849" s="693"/>
      <c r="Q849" s="693"/>
    </row>
    <row r="850" spans="1:17" ht="13.5">
      <c r="A850" s="693"/>
      <c r="B850" s="693"/>
      <c r="C850" s="693"/>
      <c r="D850" s="693"/>
      <c r="E850" s="693"/>
      <c r="F850" s="693"/>
      <c r="G850" s="693"/>
      <c r="H850" s="693"/>
      <c r="I850" s="693"/>
      <c r="J850" s="693"/>
      <c r="K850" s="693"/>
      <c r="L850" s="693"/>
      <c r="M850" s="693"/>
      <c r="N850" s="693"/>
      <c r="O850" s="693"/>
      <c r="P850" s="693"/>
      <c r="Q850" s="693"/>
    </row>
    <row r="851" spans="1:17" ht="13.5">
      <c r="A851" s="693"/>
      <c r="B851" s="693"/>
      <c r="C851" s="693"/>
      <c r="D851" s="693"/>
      <c r="E851" s="693"/>
      <c r="F851" s="693"/>
      <c r="G851" s="693"/>
      <c r="H851" s="693"/>
      <c r="I851" s="693"/>
      <c r="J851" s="693"/>
      <c r="K851" s="693"/>
      <c r="L851" s="693"/>
      <c r="M851" s="693"/>
      <c r="N851" s="693"/>
      <c r="O851" s="693"/>
      <c r="P851" s="693"/>
      <c r="Q851" s="693"/>
    </row>
    <row r="852" spans="1:17" ht="13.5">
      <c r="A852" s="693"/>
      <c r="B852" s="693"/>
      <c r="C852" s="693"/>
      <c r="D852" s="693"/>
      <c r="E852" s="693"/>
      <c r="F852" s="693"/>
      <c r="G852" s="693"/>
      <c r="H852" s="693"/>
      <c r="I852" s="693"/>
      <c r="J852" s="693"/>
      <c r="K852" s="693"/>
      <c r="L852" s="693"/>
      <c r="M852" s="693"/>
      <c r="N852" s="693"/>
      <c r="O852" s="693"/>
      <c r="P852" s="693"/>
      <c r="Q852" s="693"/>
    </row>
    <row r="853" spans="1:17" ht="13.5">
      <c r="A853" s="693"/>
      <c r="B853" s="693"/>
      <c r="C853" s="693"/>
      <c r="D853" s="693"/>
      <c r="E853" s="693"/>
      <c r="F853" s="693"/>
      <c r="G853" s="693"/>
      <c r="H853" s="693"/>
      <c r="I853" s="693"/>
      <c r="J853" s="693"/>
      <c r="K853" s="693"/>
      <c r="L853" s="693"/>
      <c r="M853" s="693"/>
      <c r="N853" s="693"/>
      <c r="O853" s="693"/>
      <c r="P853" s="693"/>
      <c r="Q853" s="693"/>
    </row>
    <row r="854" spans="1:17" ht="13.5">
      <c r="A854" s="693"/>
      <c r="B854" s="693"/>
      <c r="C854" s="693"/>
      <c r="D854" s="693"/>
      <c r="E854" s="693"/>
      <c r="F854" s="693"/>
      <c r="G854" s="693"/>
      <c r="H854" s="693"/>
      <c r="I854" s="693"/>
      <c r="J854" s="693"/>
      <c r="K854" s="693"/>
      <c r="L854" s="693"/>
      <c r="M854" s="693"/>
      <c r="N854" s="693"/>
      <c r="O854" s="693"/>
      <c r="P854" s="693"/>
      <c r="Q854" s="693"/>
    </row>
    <row r="855" spans="1:17" ht="13.5">
      <c r="A855" s="693"/>
      <c r="B855" s="693"/>
      <c r="C855" s="693"/>
      <c r="D855" s="693"/>
      <c r="E855" s="693"/>
      <c r="F855" s="693"/>
      <c r="G855" s="693"/>
      <c r="H855" s="693"/>
      <c r="I855" s="693"/>
      <c r="J855" s="693"/>
      <c r="K855" s="693"/>
      <c r="L855" s="693"/>
      <c r="M855" s="693"/>
      <c r="N855" s="693"/>
      <c r="O855" s="693"/>
      <c r="P855" s="693"/>
      <c r="Q855" s="693"/>
    </row>
    <row r="856" spans="1:17" ht="13.5">
      <c r="A856" s="693"/>
      <c r="B856" s="693"/>
      <c r="C856" s="693"/>
      <c r="D856" s="693"/>
      <c r="E856" s="693"/>
      <c r="F856" s="693"/>
      <c r="G856" s="693"/>
      <c r="H856" s="693"/>
      <c r="I856" s="693"/>
      <c r="J856" s="693"/>
      <c r="K856" s="693"/>
      <c r="L856" s="693"/>
      <c r="M856" s="693"/>
      <c r="N856" s="693"/>
      <c r="O856" s="693"/>
      <c r="P856" s="693"/>
      <c r="Q856" s="693"/>
    </row>
    <row r="857" spans="1:17" ht="13.5">
      <c r="A857" s="693"/>
      <c r="B857" s="693"/>
      <c r="C857" s="693"/>
      <c r="D857" s="693"/>
      <c r="E857" s="693"/>
      <c r="F857" s="693"/>
      <c r="G857" s="693"/>
      <c r="H857" s="693"/>
      <c r="I857" s="693"/>
      <c r="J857" s="693"/>
      <c r="K857" s="693"/>
      <c r="L857" s="693"/>
      <c r="M857" s="693"/>
      <c r="N857" s="693"/>
      <c r="O857" s="693"/>
      <c r="P857" s="693"/>
      <c r="Q857" s="693"/>
    </row>
    <row r="858" spans="1:17" ht="13.5">
      <c r="A858" s="693"/>
      <c r="B858" s="693"/>
      <c r="C858" s="693"/>
      <c r="D858" s="693"/>
      <c r="E858" s="693"/>
      <c r="F858" s="693"/>
      <c r="G858" s="693"/>
      <c r="H858" s="693"/>
      <c r="I858" s="693"/>
      <c r="J858" s="693"/>
      <c r="K858" s="693"/>
      <c r="L858" s="693"/>
      <c r="M858" s="693"/>
      <c r="N858" s="693"/>
      <c r="O858" s="693"/>
      <c r="P858" s="693"/>
      <c r="Q858" s="693"/>
    </row>
    <row r="859" spans="1:17" ht="13.5">
      <c r="A859" s="693"/>
      <c r="B859" s="693"/>
      <c r="C859" s="693"/>
      <c r="D859" s="693"/>
      <c r="E859" s="693"/>
      <c r="F859" s="693"/>
      <c r="G859" s="693"/>
      <c r="H859" s="693"/>
      <c r="I859" s="693"/>
      <c r="J859" s="693"/>
      <c r="K859" s="693"/>
      <c r="L859" s="693"/>
      <c r="M859" s="693"/>
      <c r="N859" s="693"/>
      <c r="O859" s="693"/>
      <c r="P859" s="693"/>
      <c r="Q859" s="693"/>
    </row>
    <row r="860" spans="1:17" ht="13.5">
      <c r="A860" s="693"/>
      <c r="B860" s="693"/>
      <c r="C860" s="693"/>
      <c r="D860" s="693"/>
      <c r="E860" s="693"/>
      <c r="F860" s="693"/>
      <c r="G860" s="693"/>
      <c r="H860" s="693"/>
      <c r="I860" s="693"/>
      <c r="J860" s="693"/>
      <c r="K860" s="693"/>
      <c r="L860" s="693"/>
      <c r="M860" s="693"/>
      <c r="N860" s="693"/>
      <c r="O860" s="693"/>
      <c r="P860" s="693"/>
      <c r="Q860" s="693"/>
    </row>
    <row r="861" spans="1:17" ht="13.5">
      <c r="A861" s="693"/>
      <c r="B861" s="693"/>
      <c r="C861" s="693"/>
      <c r="D861" s="693"/>
      <c r="E861" s="693"/>
      <c r="F861" s="693"/>
      <c r="G861" s="693"/>
      <c r="H861" s="693"/>
      <c r="I861" s="693"/>
      <c r="J861" s="693"/>
      <c r="K861" s="693"/>
      <c r="L861" s="693"/>
      <c r="M861" s="693"/>
      <c r="N861" s="693"/>
      <c r="O861" s="693"/>
      <c r="P861" s="693"/>
      <c r="Q861" s="693"/>
    </row>
    <row r="862" spans="1:17" ht="13.5">
      <c r="A862" s="693"/>
      <c r="B862" s="693"/>
      <c r="C862" s="693"/>
      <c r="D862" s="693"/>
      <c r="E862" s="693"/>
      <c r="F862" s="693"/>
      <c r="G862" s="693"/>
      <c r="H862" s="693"/>
      <c r="I862" s="693"/>
      <c r="J862" s="693"/>
      <c r="K862" s="693"/>
      <c r="L862" s="693"/>
      <c r="M862" s="693"/>
      <c r="N862" s="693"/>
      <c r="O862" s="693"/>
      <c r="P862" s="693"/>
      <c r="Q862" s="693"/>
    </row>
    <row r="863" spans="1:17" ht="13.5">
      <c r="A863" s="693"/>
      <c r="B863" s="693"/>
      <c r="C863" s="693"/>
      <c r="D863" s="693"/>
      <c r="E863" s="693"/>
      <c r="F863" s="693"/>
      <c r="G863" s="693"/>
      <c r="H863" s="693"/>
      <c r="I863" s="693"/>
      <c r="J863" s="693"/>
      <c r="K863" s="693"/>
      <c r="L863" s="693"/>
      <c r="M863" s="693"/>
      <c r="N863" s="693"/>
      <c r="O863" s="693"/>
      <c r="P863" s="693"/>
      <c r="Q863" s="693"/>
    </row>
    <row r="864" spans="1:17" ht="13.5">
      <c r="A864" s="693"/>
      <c r="B864" s="693"/>
      <c r="C864" s="693"/>
      <c r="D864" s="693"/>
      <c r="E864" s="693"/>
      <c r="F864" s="693"/>
      <c r="G864" s="693"/>
      <c r="H864" s="693"/>
      <c r="I864" s="693"/>
      <c r="J864" s="693"/>
      <c r="K864" s="693"/>
      <c r="L864" s="693"/>
      <c r="M864" s="693"/>
      <c r="N864" s="693"/>
      <c r="O864" s="693"/>
      <c r="P864" s="693"/>
      <c r="Q864" s="693"/>
    </row>
    <row r="865" spans="1:17" ht="13.5">
      <c r="A865" s="693"/>
      <c r="B865" s="693"/>
      <c r="C865" s="693"/>
      <c r="D865" s="693"/>
      <c r="E865" s="693"/>
      <c r="F865" s="693"/>
      <c r="G865" s="693"/>
      <c r="H865" s="693"/>
      <c r="I865" s="693"/>
      <c r="J865" s="693"/>
      <c r="K865" s="693"/>
      <c r="L865" s="693"/>
      <c r="M865" s="693"/>
      <c r="N865" s="693"/>
      <c r="O865" s="693"/>
      <c r="P865" s="693"/>
      <c r="Q865" s="693"/>
    </row>
    <row r="866" spans="1:17" ht="13.5">
      <c r="A866" s="693"/>
      <c r="B866" s="693"/>
      <c r="C866" s="693"/>
      <c r="D866" s="693"/>
      <c r="E866" s="693"/>
      <c r="F866" s="693"/>
      <c r="G866" s="693"/>
      <c r="H866" s="693"/>
      <c r="I866" s="693"/>
      <c r="J866" s="693"/>
      <c r="K866" s="693"/>
      <c r="L866" s="693"/>
      <c r="M866" s="693"/>
      <c r="N866" s="693"/>
      <c r="O866" s="693"/>
      <c r="P866" s="693"/>
      <c r="Q866" s="693"/>
    </row>
    <row r="867" spans="1:17" ht="13.5">
      <c r="A867" s="693"/>
      <c r="B867" s="693"/>
      <c r="C867" s="693"/>
      <c r="D867" s="693"/>
      <c r="E867" s="693"/>
      <c r="F867" s="693"/>
      <c r="G867" s="693"/>
      <c r="H867" s="693"/>
      <c r="I867" s="693"/>
      <c r="J867" s="693"/>
      <c r="K867" s="693"/>
      <c r="L867" s="693"/>
      <c r="M867" s="693"/>
      <c r="N867" s="693"/>
      <c r="O867" s="693"/>
      <c r="P867" s="693"/>
      <c r="Q867" s="693"/>
    </row>
    <row r="868" spans="1:17" ht="13.5">
      <c r="A868" s="693"/>
      <c r="B868" s="693"/>
      <c r="C868" s="693"/>
      <c r="D868" s="693"/>
      <c r="E868" s="693"/>
      <c r="F868" s="693"/>
      <c r="G868" s="693"/>
      <c r="H868" s="693"/>
      <c r="I868" s="693"/>
      <c r="J868" s="693"/>
      <c r="K868" s="693"/>
      <c r="L868" s="693"/>
      <c r="M868" s="693"/>
      <c r="N868" s="693"/>
      <c r="O868" s="693"/>
      <c r="P868" s="693"/>
      <c r="Q868" s="693"/>
    </row>
    <row r="869" spans="1:17" ht="13.5">
      <c r="A869" s="693"/>
      <c r="B869" s="693"/>
      <c r="C869" s="693"/>
      <c r="D869" s="693"/>
      <c r="E869" s="693"/>
      <c r="F869" s="693"/>
      <c r="G869" s="693"/>
      <c r="H869" s="693"/>
      <c r="I869" s="693"/>
      <c r="J869" s="693"/>
      <c r="K869" s="693"/>
      <c r="L869" s="693"/>
      <c r="M869" s="693"/>
      <c r="N869" s="693"/>
      <c r="O869" s="693"/>
      <c r="P869" s="693"/>
      <c r="Q869" s="693"/>
    </row>
    <row r="870" spans="1:17" ht="13.5">
      <c r="A870" s="693"/>
      <c r="B870" s="693"/>
      <c r="C870" s="693"/>
      <c r="D870" s="693"/>
      <c r="E870" s="693"/>
      <c r="F870" s="693"/>
      <c r="G870" s="693"/>
      <c r="H870" s="693"/>
      <c r="I870" s="693"/>
      <c r="J870" s="693"/>
      <c r="K870" s="693"/>
      <c r="L870" s="693"/>
      <c r="M870" s="693"/>
      <c r="N870" s="693"/>
      <c r="O870" s="693"/>
      <c r="P870" s="693"/>
      <c r="Q870" s="693"/>
    </row>
    <row r="871" spans="1:17" ht="13.5">
      <c r="A871" s="693"/>
      <c r="B871" s="693"/>
      <c r="C871" s="693"/>
      <c r="D871" s="693"/>
      <c r="E871" s="693"/>
      <c r="F871" s="693"/>
      <c r="G871" s="693"/>
      <c r="H871" s="693"/>
      <c r="I871" s="693"/>
      <c r="J871" s="693"/>
      <c r="K871" s="693"/>
      <c r="L871" s="693"/>
      <c r="M871" s="693"/>
      <c r="N871" s="693"/>
      <c r="O871" s="693"/>
      <c r="P871" s="693"/>
      <c r="Q871" s="693"/>
    </row>
    <row r="872" spans="1:17" ht="13.5">
      <c r="A872" s="693"/>
      <c r="B872" s="693"/>
      <c r="C872" s="693"/>
      <c r="D872" s="693"/>
      <c r="E872" s="693"/>
      <c r="F872" s="693"/>
      <c r="G872" s="693"/>
      <c r="H872" s="693"/>
      <c r="I872" s="693"/>
      <c r="J872" s="693"/>
      <c r="K872" s="693"/>
      <c r="L872" s="693"/>
      <c r="M872" s="693"/>
      <c r="N872" s="693"/>
      <c r="O872" s="693"/>
      <c r="P872" s="693"/>
      <c r="Q872" s="693"/>
    </row>
    <row r="873" spans="1:17" ht="13.5">
      <c r="A873" s="693"/>
      <c r="B873" s="693"/>
      <c r="C873" s="693"/>
      <c r="D873" s="693"/>
      <c r="E873" s="693"/>
      <c r="F873" s="693"/>
      <c r="G873" s="693"/>
      <c r="H873" s="693"/>
      <c r="I873" s="693"/>
      <c r="J873" s="693"/>
      <c r="K873" s="693"/>
      <c r="L873" s="693"/>
      <c r="M873" s="693"/>
      <c r="N873" s="693"/>
      <c r="O873" s="693"/>
      <c r="P873" s="693"/>
      <c r="Q873" s="693"/>
    </row>
    <row r="874" spans="1:17" ht="13.5">
      <c r="A874" s="693"/>
      <c r="B874" s="693"/>
      <c r="C874" s="693"/>
      <c r="D874" s="693"/>
      <c r="E874" s="693"/>
      <c r="F874" s="693"/>
      <c r="G874" s="693"/>
      <c r="H874" s="693"/>
      <c r="I874" s="693"/>
      <c r="J874" s="693"/>
      <c r="K874" s="693"/>
      <c r="L874" s="693"/>
      <c r="M874" s="693"/>
      <c r="N874" s="693"/>
      <c r="O874" s="693"/>
      <c r="P874" s="693"/>
      <c r="Q874" s="693"/>
    </row>
    <row r="875" spans="1:17" ht="13.5">
      <c r="A875" s="693"/>
      <c r="B875" s="693"/>
      <c r="C875" s="693"/>
      <c r="D875" s="693"/>
      <c r="E875" s="693"/>
      <c r="F875" s="693"/>
      <c r="G875" s="693"/>
      <c r="H875" s="693"/>
      <c r="I875" s="693"/>
      <c r="J875" s="693"/>
      <c r="K875" s="693"/>
      <c r="L875" s="693"/>
      <c r="M875" s="693"/>
      <c r="N875" s="693"/>
      <c r="O875" s="693"/>
      <c r="P875" s="693"/>
      <c r="Q875" s="693"/>
    </row>
    <row r="876" spans="1:17" ht="13.5">
      <c r="A876" s="693"/>
      <c r="B876" s="693"/>
      <c r="C876" s="693"/>
      <c r="D876" s="693"/>
      <c r="E876" s="693"/>
      <c r="F876" s="693"/>
      <c r="G876" s="693"/>
      <c r="H876" s="693"/>
      <c r="I876" s="693"/>
      <c r="J876" s="693"/>
      <c r="K876" s="693"/>
      <c r="L876" s="693"/>
      <c r="M876" s="693"/>
      <c r="N876" s="693"/>
      <c r="O876" s="693"/>
      <c r="P876" s="693"/>
      <c r="Q876" s="693"/>
    </row>
    <row r="877" spans="1:17" ht="13.5">
      <c r="A877" s="693"/>
      <c r="B877" s="693"/>
      <c r="C877" s="693"/>
      <c r="D877" s="693"/>
      <c r="E877" s="693"/>
      <c r="F877" s="693"/>
      <c r="G877" s="693"/>
      <c r="H877" s="693"/>
      <c r="I877" s="693"/>
      <c r="J877" s="693"/>
      <c r="K877" s="693"/>
      <c r="L877" s="693"/>
      <c r="M877" s="693"/>
      <c r="N877" s="693"/>
      <c r="O877" s="693"/>
      <c r="P877" s="693"/>
      <c r="Q877" s="693"/>
    </row>
    <row r="878" spans="1:17" ht="13.5">
      <c r="A878" s="693"/>
      <c r="B878" s="693"/>
      <c r="C878" s="693"/>
      <c r="D878" s="693"/>
      <c r="E878" s="693"/>
      <c r="F878" s="693"/>
      <c r="G878" s="693"/>
      <c r="H878" s="693"/>
      <c r="I878" s="693"/>
      <c r="J878" s="693"/>
      <c r="K878" s="693"/>
      <c r="L878" s="693"/>
      <c r="M878" s="693"/>
      <c r="N878" s="693"/>
      <c r="O878" s="693"/>
      <c r="P878" s="693"/>
      <c r="Q878" s="693"/>
    </row>
    <row r="879" spans="1:17" ht="13.5">
      <c r="A879" s="693"/>
      <c r="B879" s="693"/>
      <c r="C879" s="693"/>
      <c r="D879" s="693"/>
      <c r="E879" s="693"/>
      <c r="F879" s="693"/>
      <c r="G879" s="693"/>
      <c r="H879" s="693"/>
      <c r="I879" s="693"/>
      <c r="J879" s="693"/>
      <c r="K879" s="693"/>
      <c r="L879" s="693"/>
      <c r="M879" s="693"/>
      <c r="N879" s="693"/>
      <c r="O879" s="693"/>
      <c r="P879" s="693"/>
      <c r="Q879" s="693"/>
    </row>
    <row r="880" spans="1:17" ht="13.5">
      <c r="A880" s="693"/>
      <c r="B880" s="693"/>
      <c r="C880" s="693"/>
      <c r="D880" s="693"/>
      <c r="E880" s="693"/>
      <c r="F880" s="693"/>
      <c r="G880" s="693"/>
      <c r="H880" s="693"/>
      <c r="I880" s="693"/>
      <c r="J880" s="693"/>
      <c r="K880" s="693"/>
      <c r="L880" s="693"/>
      <c r="M880" s="693"/>
      <c r="N880" s="693"/>
      <c r="O880" s="693"/>
      <c r="P880" s="693"/>
      <c r="Q880" s="693"/>
    </row>
    <row r="881" spans="1:17" ht="13.5">
      <c r="A881" s="693"/>
      <c r="B881" s="693"/>
      <c r="C881" s="693"/>
      <c r="D881" s="693"/>
      <c r="E881" s="693"/>
      <c r="F881" s="693"/>
      <c r="G881" s="693"/>
      <c r="H881" s="693"/>
      <c r="I881" s="693"/>
      <c r="J881" s="693"/>
      <c r="K881" s="693"/>
      <c r="L881" s="693"/>
      <c r="M881" s="693"/>
      <c r="N881" s="693"/>
      <c r="O881" s="693"/>
      <c r="P881" s="693"/>
      <c r="Q881" s="693"/>
    </row>
    <row r="882" spans="1:17" ht="13.5">
      <c r="A882" s="693"/>
      <c r="B882" s="693"/>
      <c r="C882" s="693"/>
      <c r="D882" s="693"/>
      <c r="E882" s="693"/>
      <c r="F882" s="693"/>
      <c r="G882" s="693"/>
      <c r="H882" s="693"/>
      <c r="I882" s="693"/>
      <c r="J882" s="693"/>
      <c r="K882" s="693"/>
      <c r="L882" s="693"/>
      <c r="M882" s="693"/>
      <c r="N882" s="693"/>
      <c r="O882" s="693"/>
      <c r="P882" s="693"/>
      <c r="Q882" s="693"/>
    </row>
    <row r="883" spans="1:17" ht="13.5">
      <c r="A883" s="693"/>
      <c r="B883" s="693"/>
      <c r="C883" s="693"/>
      <c r="D883" s="693"/>
      <c r="E883" s="693"/>
      <c r="F883" s="693"/>
      <c r="G883" s="693"/>
      <c r="H883" s="693"/>
      <c r="I883" s="693"/>
      <c r="J883" s="693"/>
      <c r="K883" s="693"/>
      <c r="L883" s="693"/>
      <c r="M883" s="693"/>
      <c r="N883" s="693"/>
      <c r="O883" s="693"/>
      <c r="P883" s="693"/>
      <c r="Q883" s="693"/>
    </row>
    <row r="884" spans="1:17" ht="13.5">
      <c r="A884" s="693"/>
      <c r="B884" s="693"/>
      <c r="C884" s="693"/>
      <c r="D884" s="693"/>
      <c r="E884" s="693"/>
      <c r="F884" s="693"/>
      <c r="G884" s="693"/>
      <c r="H884" s="693"/>
      <c r="I884" s="693"/>
      <c r="J884" s="693"/>
      <c r="K884" s="693"/>
      <c r="L884" s="693"/>
      <c r="M884" s="693"/>
      <c r="N884" s="693"/>
      <c r="O884" s="693"/>
      <c r="P884" s="693"/>
      <c r="Q884" s="693"/>
    </row>
    <row r="885" spans="1:17" ht="13.5">
      <c r="A885" s="693"/>
      <c r="B885" s="693"/>
      <c r="C885" s="693"/>
      <c r="D885" s="693"/>
      <c r="E885" s="693"/>
      <c r="F885" s="693"/>
      <c r="G885" s="693"/>
      <c r="H885" s="693"/>
      <c r="I885" s="693"/>
      <c r="J885" s="693"/>
      <c r="K885" s="693"/>
      <c r="L885" s="693"/>
      <c r="M885" s="693"/>
      <c r="N885" s="693"/>
      <c r="O885" s="693"/>
      <c r="P885" s="693"/>
      <c r="Q885" s="693"/>
    </row>
    <row r="886" spans="1:17" ht="13.5">
      <c r="A886" s="693"/>
      <c r="B886" s="693"/>
      <c r="C886" s="693"/>
      <c r="D886" s="693"/>
      <c r="E886" s="693"/>
      <c r="F886" s="693"/>
      <c r="G886" s="693"/>
      <c r="H886" s="693"/>
      <c r="I886" s="693"/>
      <c r="J886" s="693"/>
      <c r="K886" s="693"/>
      <c r="L886" s="693"/>
      <c r="M886" s="693"/>
      <c r="N886" s="693"/>
      <c r="O886" s="693"/>
      <c r="P886" s="693"/>
      <c r="Q886" s="693"/>
    </row>
    <row r="887" spans="1:17" ht="13.5">
      <c r="A887" s="693"/>
      <c r="B887" s="693"/>
      <c r="C887" s="693"/>
      <c r="D887" s="693"/>
      <c r="E887" s="693"/>
      <c r="F887" s="693"/>
      <c r="G887" s="693"/>
      <c r="H887" s="693"/>
      <c r="I887" s="693"/>
      <c r="J887" s="693"/>
      <c r="K887" s="693"/>
      <c r="L887" s="693"/>
      <c r="M887" s="693"/>
      <c r="N887" s="693"/>
      <c r="O887" s="693"/>
      <c r="P887" s="693"/>
      <c r="Q887" s="693"/>
    </row>
    <row r="888" spans="1:17" ht="13.5">
      <c r="A888" s="693"/>
      <c r="B888" s="693"/>
      <c r="C888" s="693"/>
      <c r="D888" s="693"/>
      <c r="E888" s="693"/>
      <c r="F888" s="693"/>
      <c r="G888" s="693"/>
      <c r="H888" s="693"/>
      <c r="I888" s="693"/>
      <c r="J888" s="693"/>
      <c r="K888" s="693"/>
      <c r="L888" s="693"/>
      <c r="M888" s="693"/>
      <c r="N888" s="693"/>
      <c r="O888" s="693"/>
      <c r="P888" s="693"/>
      <c r="Q888" s="693"/>
    </row>
    <row r="889" spans="1:17" ht="13.5">
      <c r="A889" s="693"/>
      <c r="B889" s="693"/>
      <c r="C889" s="693"/>
      <c r="D889" s="693"/>
      <c r="E889" s="693"/>
      <c r="F889" s="693"/>
      <c r="G889" s="693"/>
      <c r="H889" s="693"/>
      <c r="I889" s="693"/>
      <c r="J889" s="693"/>
      <c r="K889" s="693"/>
      <c r="L889" s="693"/>
      <c r="M889" s="693"/>
      <c r="N889" s="693"/>
      <c r="O889" s="693"/>
      <c r="P889" s="693"/>
      <c r="Q889" s="693"/>
    </row>
    <row r="890" spans="1:17" ht="13.5">
      <c r="A890" s="693"/>
      <c r="B890" s="693"/>
      <c r="C890" s="693"/>
      <c r="D890" s="693"/>
      <c r="E890" s="693"/>
      <c r="F890" s="693"/>
      <c r="G890" s="693"/>
      <c r="H890" s="693"/>
      <c r="I890" s="693"/>
      <c r="J890" s="693"/>
      <c r="K890" s="693"/>
      <c r="L890" s="693"/>
      <c r="M890" s="693"/>
      <c r="N890" s="693"/>
      <c r="O890" s="693"/>
      <c r="P890" s="693"/>
      <c r="Q890" s="693"/>
    </row>
    <row r="891" spans="1:17" ht="13.5">
      <c r="A891" s="693"/>
      <c r="B891" s="693"/>
      <c r="C891" s="693"/>
      <c r="D891" s="693"/>
      <c r="E891" s="693"/>
      <c r="F891" s="693"/>
      <c r="G891" s="693"/>
      <c r="H891" s="693"/>
      <c r="I891" s="693"/>
      <c r="J891" s="693"/>
      <c r="K891" s="693"/>
      <c r="L891" s="693"/>
      <c r="M891" s="693"/>
      <c r="N891" s="693"/>
      <c r="O891" s="693"/>
      <c r="P891" s="693"/>
      <c r="Q891" s="693"/>
    </row>
    <row r="892" spans="1:17" ht="13.5">
      <c r="A892" s="693"/>
      <c r="B892" s="693"/>
      <c r="C892" s="693"/>
      <c r="D892" s="693"/>
      <c r="E892" s="693"/>
      <c r="F892" s="693"/>
      <c r="G892" s="693"/>
      <c r="H892" s="693"/>
      <c r="I892" s="693"/>
      <c r="J892" s="693"/>
      <c r="K892" s="693"/>
      <c r="L892" s="693"/>
      <c r="M892" s="693"/>
      <c r="N892" s="693"/>
      <c r="O892" s="693"/>
      <c r="P892" s="693"/>
      <c r="Q892" s="693"/>
    </row>
    <row r="893" spans="1:17" ht="13.5">
      <c r="A893" s="693"/>
      <c r="B893" s="693"/>
      <c r="C893" s="693"/>
      <c r="D893" s="693"/>
      <c r="E893" s="693"/>
      <c r="F893" s="693"/>
      <c r="G893" s="693"/>
      <c r="H893" s="693"/>
      <c r="I893" s="693"/>
      <c r="J893" s="693"/>
      <c r="K893" s="693"/>
      <c r="L893" s="693"/>
      <c r="M893" s="693"/>
      <c r="N893" s="693"/>
      <c r="O893" s="693"/>
      <c r="P893" s="693"/>
      <c r="Q893" s="693"/>
    </row>
    <row r="894" spans="1:17" ht="13.5">
      <c r="A894" s="693"/>
      <c r="B894" s="693"/>
      <c r="C894" s="693"/>
      <c r="D894" s="693"/>
      <c r="E894" s="693"/>
      <c r="F894" s="693"/>
      <c r="G894" s="693"/>
      <c r="H894" s="693"/>
      <c r="I894" s="693"/>
      <c r="J894" s="693"/>
      <c r="K894" s="693"/>
      <c r="L894" s="693"/>
      <c r="M894" s="693"/>
      <c r="N894" s="693"/>
      <c r="O894" s="693"/>
      <c r="P894" s="693"/>
      <c r="Q894" s="693"/>
    </row>
    <row r="895" spans="1:17" ht="13.5">
      <c r="A895" s="693"/>
      <c r="B895" s="693"/>
      <c r="C895" s="693"/>
      <c r="D895" s="693"/>
      <c r="E895" s="693"/>
      <c r="F895" s="693"/>
      <c r="G895" s="693"/>
      <c r="H895" s="693"/>
      <c r="I895" s="693"/>
      <c r="J895" s="693"/>
      <c r="K895" s="693"/>
      <c r="L895" s="693"/>
      <c r="M895" s="693"/>
      <c r="N895" s="693"/>
      <c r="O895" s="693"/>
      <c r="P895" s="693"/>
      <c r="Q895" s="693"/>
    </row>
    <row r="896" spans="1:17" ht="13.5">
      <c r="A896" s="693"/>
      <c r="B896" s="693"/>
      <c r="C896" s="693"/>
      <c r="D896" s="693"/>
      <c r="E896" s="693"/>
      <c r="F896" s="693"/>
      <c r="G896" s="693"/>
      <c r="H896" s="693"/>
      <c r="I896" s="693"/>
      <c r="J896" s="693"/>
      <c r="K896" s="693"/>
      <c r="L896" s="693"/>
      <c r="M896" s="693"/>
      <c r="N896" s="693"/>
      <c r="O896" s="693"/>
      <c r="P896" s="693"/>
      <c r="Q896" s="693"/>
    </row>
    <row r="897" spans="1:17" ht="13.5">
      <c r="A897" s="693"/>
      <c r="B897" s="693"/>
      <c r="C897" s="693"/>
      <c r="D897" s="693"/>
      <c r="E897" s="693"/>
      <c r="F897" s="693"/>
      <c r="G897" s="693"/>
      <c r="H897" s="693"/>
      <c r="I897" s="693"/>
      <c r="J897" s="693"/>
      <c r="K897" s="693"/>
      <c r="L897" s="693"/>
      <c r="M897" s="693"/>
      <c r="N897" s="693"/>
      <c r="O897" s="693"/>
      <c r="P897" s="693"/>
      <c r="Q897" s="693"/>
    </row>
    <row r="898" spans="1:17" ht="13.5">
      <c r="A898" s="693"/>
      <c r="B898" s="693"/>
      <c r="C898" s="693"/>
      <c r="D898" s="693"/>
      <c r="E898" s="693"/>
      <c r="F898" s="693"/>
      <c r="G898" s="693"/>
      <c r="H898" s="693"/>
      <c r="I898" s="693"/>
      <c r="J898" s="693"/>
      <c r="K898" s="693"/>
      <c r="L898" s="693"/>
      <c r="M898" s="693"/>
      <c r="N898" s="693"/>
      <c r="O898" s="693"/>
      <c r="P898" s="693"/>
      <c r="Q898" s="693"/>
    </row>
    <row r="899" spans="1:17" ht="13.5">
      <c r="A899" s="693"/>
      <c r="B899" s="693"/>
      <c r="C899" s="693"/>
      <c r="D899" s="693"/>
      <c r="E899" s="693"/>
      <c r="F899" s="693"/>
      <c r="G899" s="693"/>
      <c r="H899" s="693"/>
      <c r="I899" s="693"/>
      <c r="J899" s="693"/>
      <c r="K899" s="693"/>
      <c r="L899" s="693"/>
      <c r="M899" s="693"/>
      <c r="N899" s="693"/>
      <c r="O899" s="693"/>
      <c r="P899" s="693"/>
      <c r="Q899" s="693"/>
    </row>
    <row r="900" spans="1:17" ht="13.5">
      <c r="A900" s="693"/>
      <c r="B900" s="693"/>
      <c r="C900" s="693"/>
      <c r="D900" s="693"/>
      <c r="E900" s="693"/>
      <c r="F900" s="693"/>
      <c r="G900" s="693"/>
      <c r="H900" s="693"/>
      <c r="I900" s="693"/>
      <c r="J900" s="693"/>
      <c r="K900" s="693"/>
      <c r="L900" s="693"/>
      <c r="M900" s="693"/>
      <c r="N900" s="693"/>
      <c r="O900" s="693"/>
      <c r="P900" s="693"/>
      <c r="Q900" s="693"/>
    </row>
    <row r="901" spans="1:17" ht="13.5">
      <c r="A901" s="693"/>
      <c r="B901" s="693"/>
      <c r="C901" s="693"/>
      <c r="D901" s="693"/>
      <c r="E901" s="693"/>
      <c r="F901" s="693"/>
      <c r="G901" s="693"/>
      <c r="H901" s="693"/>
      <c r="I901" s="693"/>
      <c r="J901" s="693"/>
      <c r="K901" s="693"/>
      <c r="L901" s="693"/>
      <c r="M901" s="693"/>
      <c r="N901" s="693"/>
      <c r="O901" s="693"/>
      <c r="P901" s="693"/>
      <c r="Q901" s="693"/>
    </row>
    <row r="902" spans="1:17" ht="13.5">
      <c r="A902" s="693"/>
      <c r="B902" s="693"/>
      <c r="C902" s="693"/>
      <c r="D902" s="693"/>
      <c r="E902" s="693"/>
      <c r="F902" s="693"/>
      <c r="G902" s="693"/>
      <c r="H902" s="693"/>
      <c r="I902" s="693"/>
      <c r="J902" s="693"/>
      <c r="K902" s="693"/>
      <c r="L902" s="693"/>
      <c r="M902" s="693"/>
      <c r="N902" s="693"/>
      <c r="O902" s="693"/>
      <c r="P902" s="693"/>
      <c r="Q902" s="693"/>
    </row>
    <row r="903" spans="1:17" ht="13.5">
      <c r="A903" s="693"/>
      <c r="B903" s="693"/>
      <c r="C903" s="693"/>
      <c r="D903" s="693"/>
      <c r="E903" s="693"/>
      <c r="F903" s="693"/>
      <c r="G903" s="693"/>
      <c r="H903" s="693"/>
      <c r="I903" s="693"/>
      <c r="J903" s="693"/>
      <c r="K903" s="693"/>
      <c r="L903" s="693"/>
      <c r="M903" s="693"/>
      <c r="N903" s="693"/>
      <c r="O903" s="693"/>
      <c r="P903" s="693"/>
      <c r="Q903" s="693"/>
    </row>
    <row r="904" spans="1:17" ht="13.5">
      <c r="A904" s="693"/>
      <c r="B904" s="693"/>
      <c r="C904" s="693"/>
      <c r="D904" s="693"/>
      <c r="E904" s="693"/>
      <c r="F904" s="693"/>
      <c r="G904" s="693"/>
      <c r="H904" s="693"/>
      <c r="I904" s="693"/>
      <c r="J904" s="693"/>
      <c r="K904" s="693"/>
      <c r="L904" s="693"/>
      <c r="M904" s="693"/>
      <c r="N904" s="693"/>
      <c r="O904" s="693"/>
      <c r="P904" s="693"/>
      <c r="Q904" s="693"/>
    </row>
    <row r="905" spans="1:17" ht="13.5">
      <c r="A905" s="693"/>
      <c r="B905" s="693"/>
      <c r="C905" s="693"/>
      <c r="D905" s="693"/>
      <c r="E905" s="693"/>
      <c r="F905" s="693"/>
      <c r="G905" s="693"/>
      <c r="H905" s="693"/>
      <c r="I905" s="693"/>
      <c r="J905" s="693"/>
      <c r="K905" s="693"/>
      <c r="L905" s="693"/>
      <c r="M905" s="693"/>
      <c r="N905" s="693"/>
      <c r="O905" s="693"/>
      <c r="P905" s="693"/>
      <c r="Q905" s="693"/>
    </row>
    <row r="906" spans="1:17" ht="13.5">
      <c r="A906" s="693"/>
      <c r="B906" s="693"/>
      <c r="C906" s="693"/>
      <c r="D906" s="693"/>
      <c r="E906" s="693"/>
      <c r="F906" s="693"/>
      <c r="G906" s="693"/>
      <c r="H906" s="693"/>
      <c r="I906" s="693"/>
      <c r="J906" s="693"/>
      <c r="K906" s="693"/>
      <c r="L906" s="693"/>
      <c r="M906" s="693"/>
      <c r="N906" s="693"/>
      <c r="O906" s="693"/>
      <c r="P906" s="693"/>
      <c r="Q906" s="693"/>
    </row>
    <row r="907" spans="1:17" ht="13.5">
      <c r="A907" s="693"/>
      <c r="B907" s="693"/>
      <c r="C907" s="693"/>
      <c r="D907" s="693"/>
      <c r="E907" s="693"/>
      <c r="F907" s="693"/>
      <c r="G907" s="693"/>
      <c r="H907" s="693"/>
      <c r="I907" s="693"/>
      <c r="J907" s="693"/>
      <c r="K907" s="693"/>
      <c r="L907" s="693"/>
      <c r="M907" s="693"/>
      <c r="N907" s="693"/>
      <c r="O907" s="693"/>
      <c r="P907" s="693"/>
      <c r="Q907" s="693"/>
    </row>
    <row r="908" spans="1:17" ht="13.5">
      <c r="A908" s="693"/>
      <c r="B908" s="693"/>
      <c r="C908" s="693"/>
      <c r="D908" s="693"/>
      <c r="E908" s="693"/>
      <c r="F908" s="693"/>
      <c r="G908" s="693"/>
      <c r="H908" s="693"/>
      <c r="I908" s="693"/>
      <c r="J908" s="693"/>
      <c r="K908" s="693"/>
      <c r="L908" s="693"/>
      <c r="M908" s="693"/>
      <c r="N908" s="693"/>
      <c r="O908" s="693"/>
      <c r="P908" s="693"/>
      <c r="Q908" s="693"/>
    </row>
    <row r="909" spans="1:17" ht="13.5">
      <c r="A909" s="693"/>
      <c r="B909" s="693"/>
      <c r="C909" s="693"/>
      <c r="D909" s="693"/>
      <c r="E909" s="693"/>
      <c r="F909" s="693"/>
      <c r="G909" s="693"/>
      <c r="H909" s="693"/>
      <c r="I909" s="693"/>
      <c r="J909" s="693"/>
      <c r="K909" s="693"/>
      <c r="L909" s="693"/>
      <c r="M909" s="693"/>
      <c r="N909" s="693"/>
      <c r="O909" s="693"/>
      <c r="P909" s="693"/>
      <c r="Q909" s="693"/>
    </row>
    <row r="910" spans="1:17" ht="13.5">
      <c r="A910" s="693"/>
      <c r="B910" s="693"/>
      <c r="C910" s="693"/>
      <c r="D910" s="693"/>
      <c r="E910" s="693"/>
      <c r="F910" s="693"/>
      <c r="G910" s="693"/>
      <c r="H910" s="693"/>
      <c r="I910" s="693"/>
      <c r="J910" s="693"/>
      <c r="K910" s="693"/>
      <c r="L910" s="693"/>
      <c r="M910" s="693"/>
      <c r="N910" s="693"/>
      <c r="O910" s="693"/>
      <c r="P910" s="693"/>
      <c r="Q910" s="693"/>
    </row>
    <row r="911" spans="1:17" ht="13.5">
      <c r="A911" s="693"/>
      <c r="B911" s="693"/>
      <c r="C911" s="693"/>
      <c r="D911" s="693"/>
      <c r="E911" s="693"/>
      <c r="F911" s="693"/>
      <c r="G911" s="693"/>
      <c r="H911" s="693"/>
      <c r="I911" s="693"/>
      <c r="J911" s="693"/>
      <c r="K911" s="693"/>
      <c r="L911" s="693"/>
      <c r="M911" s="693"/>
      <c r="N911" s="693"/>
      <c r="O911" s="693"/>
      <c r="P911" s="693"/>
      <c r="Q911" s="693"/>
    </row>
    <row r="912" spans="1:17" ht="13.5">
      <c r="A912" s="693"/>
      <c r="B912" s="693"/>
      <c r="C912" s="693"/>
      <c r="D912" s="693"/>
      <c r="E912" s="693"/>
      <c r="F912" s="693"/>
      <c r="G912" s="693"/>
      <c r="H912" s="693"/>
      <c r="I912" s="693"/>
      <c r="J912" s="693"/>
      <c r="K912" s="693"/>
      <c r="L912" s="693"/>
      <c r="M912" s="693"/>
      <c r="N912" s="693"/>
      <c r="O912" s="693"/>
      <c r="P912" s="693"/>
      <c r="Q912" s="693"/>
    </row>
    <row r="913" spans="1:17" ht="13.5">
      <c r="A913" s="693"/>
      <c r="B913" s="693"/>
      <c r="C913" s="693"/>
      <c r="D913" s="693"/>
      <c r="E913" s="693"/>
      <c r="F913" s="693"/>
      <c r="G913" s="693"/>
      <c r="H913" s="693"/>
      <c r="I913" s="693"/>
      <c r="J913" s="693"/>
      <c r="K913" s="693"/>
      <c r="L913" s="693"/>
      <c r="M913" s="693"/>
      <c r="N913" s="693"/>
      <c r="O913" s="693"/>
      <c r="P913" s="693"/>
      <c r="Q913" s="693"/>
    </row>
    <row r="914" spans="1:17" ht="13.5">
      <c r="A914" s="693"/>
      <c r="B914" s="693"/>
      <c r="C914" s="693"/>
      <c r="D914" s="693"/>
      <c r="E914" s="693"/>
      <c r="F914" s="693"/>
      <c r="G914" s="693"/>
      <c r="H914" s="693"/>
      <c r="I914" s="693"/>
      <c r="J914" s="693"/>
      <c r="K914" s="693"/>
      <c r="L914" s="693"/>
      <c r="M914" s="693"/>
      <c r="N914" s="693"/>
      <c r="O914" s="693"/>
      <c r="P914" s="693"/>
      <c r="Q914" s="693"/>
    </row>
    <row r="915" spans="1:17" ht="13.5">
      <c r="A915" s="693"/>
      <c r="B915" s="693"/>
      <c r="C915" s="693"/>
      <c r="D915" s="693"/>
      <c r="E915" s="693"/>
      <c r="F915" s="693"/>
      <c r="G915" s="693"/>
      <c r="H915" s="693"/>
      <c r="I915" s="693"/>
      <c r="J915" s="693"/>
      <c r="K915" s="693"/>
      <c r="L915" s="693"/>
      <c r="M915" s="693"/>
      <c r="N915" s="693"/>
      <c r="O915" s="693"/>
      <c r="P915" s="693"/>
      <c r="Q915" s="693"/>
    </row>
    <row r="916" spans="1:17" ht="13.5">
      <c r="A916" s="693"/>
      <c r="B916" s="693"/>
      <c r="C916" s="693"/>
      <c r="D916" s="693"/>
      <c r="E916" s="693"/>
      <c r="F916" s="693"/>
      <c r="G916" s="693"/>
      <c r="H916" s="693"/>
      <c r="I916" s="693"/>
      <c r="J916" s="693"/>
      <c r="K916" s="693"/>
      <c r="L916" s="693"/>
      <c r="M916" s="693"/>
      <c r="N916" s="693"/>
      <c r="O916" s="693"/>
      <c r="P916" s="693"/>
      <c r="Q916" s="693"/>
    </row>
    <row r="917" spans="1:17" ht="13.5">
      <c r="A917" s="693"/>
      <c r="B917" s="693"/>
      <c r="C917" s="693"/>
      <c r="D917" s="693"/>
      <c r="E917" s="693"/>
      <c r="F917" s="693"/>
      <c r="G917" s="693"/>
      <c r="H917" s="693"/>
      <c r="I917" s="693"/>
      <c r="J917" s="693"/>
      <c r="K917" s="693"/>
      <c r="L917" s="693"/>
      <c r="M917" s="693"/>
      <c r="N917" s="693"/>
      <c r="O917" s="693"/>
      <c r="P917" s="693"/>
      <c r="Q917" s="693"/>
    </row>
    <row r="918" spans="1:17" ht="13.5">
      <c r="A918" s="693"/>
      <c r="B918" s="693"/>
      <c r="C918" s="693"/>
      <c r="D918" s="693"/>
      <c r="E918" s="693"/>
      <c r="F918" s="693"/>
      <c r="G918" s="693"/>
      <c r="H918" s="693"/>
      <c r="I918" s="693"/>
      <c r="J918" s="693"/>
      <c r="K918" s="693"/>
      <c r="L918" s="693"/>
      <c r="M918" s="693"/>
      <c r="N918" s="693"/>
      <c r="O918" s="693"/>
      <c r="P918" s="693"/>
      <c r="Q918" s="693"/>
    </row>
    <row r="919" spans="1:17" ht="13.5">
      <c r="A919" s="693"/>
      <c r="B919" s="693"/>
      <c r="C919" s="693"/>
      <c r="D919" s="693"/>
      <c r="E919" s="693"/>
      <c r="F919" s="693"/>
      <c r="G919" s="693"/>
      <c r="H919" s="693"/>
      <c r="I919" s="693"/>
      <c r="J919" s="693"/>
      <c r="K919" s="693"/>
      <c r="L919" s="693"/>
      <c r="M919" s="693"/>
      <c r="N919" s="693"/>
      <c r="O919" s="693"/>
      <c r="P919" s="693"/>
      <c r="Q919" s="693"/>
    </row>
    <row r="920" spans="1:17" ht="13.5">
      <c r="A920" s="693"/>
      <c r="B920" s="693"/>
      <c r="C920" s="693"/>
      <c r="D920" s="693"/>
      <c r="E920" s="693"/>
      <c r="F920" s="693"/>
      <c r="G920" s="693"/>
      <c r="H920" s="693"/>
      <c r="I920" s="693"/>
      <c r="J920" s="693"/>
      <c r="K920" s="693"/>
      <c r="L920" s="693"/>
      <c r="M920" s="693"/>
      <c r="N920" s="693"/>
      <c r="O920" s="693"/>
      <c r="P920" s="693"/>
      <c r="Q920" s="693"/>
    </row>
    <row r="921" spans="1:17" ht="13.5">
      <c r="A921" s="693"/>
      <c r="B921" s="693"/>
      <c r="C921" s="693"/>
      <c r="D921" s="693"/>
      <c r="E921" s="693"/>
      <c r="F921" s="693"/>
      <c r="G921" s="693"/>
      <c r="H921" s="693"/>
      <c r="I921" s="693"/>
      <c r="J921" s="693"/>
      <c r="K921" s="693"/>
      <c r="L921" s="693"/>
      <c r="M921" s="693"/>
      <c r="N921" s="693"/>
      <c r="O921" s="693"/>
      <c r="P921" s="693"/>
      <c r="Q921" s="693"/>
    </row>
    <row r="922" spans="1:17" ht="13.5">
      <c r="A922" s="693"/>
      <c r="B922" s="693"/>
      <c r="C922" s="693"/>
      <c r="D922" s="693"/>
      <c r="E922" s="693"/>
      <c r="F922" s="693"/>
      <c r="G922" s="693"/>
      <c r="H922" s="693"/>
      <c r="I922" s="693"/>
      <c r="J922" s="693"/>
      <c r="K922" s="693"/>
      <c r="L922" s="693"/>
      <c r="M922" s="693"/>
      <c r="N922" s="693"/>
      <c r="O922" s="693"/>
      <c r="P922" s="693"/>
      <c r="Q922" s="693"/>
    </row>
    <row r="923" spans="1:17" ht="13.5">
      <c r="A923" s="693"/>
      <c r="B923" s="693"/>
      <c r="C923" s="693"/>
      <c r="D923" s="693"/>
      <c r="E923" s="693"/>
      <c r="F923" s="693"/>
      <c r="G923" s="693"/>
      <c r="H923" s="693"/>
      <c r="I923" s="693"/>
      <c r="J923" s="693"/>
      <c r="K923" s="693"/>
      <c r="L923" s="693"/>
      <c r="M923" s="693"/>
      <c r="N923" s="693"/>
      <c r="O923" s="693"/>
      <c r="P923" s="693"/>
      <c r="Q923" s="693"/>
    </row>
    <row r="924" spans="1:17" ht="13.5">
      <c r="A924" s="693"/>
      <c r="B924" s="693"/>
      <c r="C924" s="693"/>
      <c r="D924" s="693"/>
      <c r="E924" s="693"/>
      <c r="F924" s="693"/>
      <c r="G924" s="693"/>
      <c r="H924" s="693"/>
      <c r="I924" s="693"/>
      <c r="J924" s="693"/>
      <c r="K924" s="693"/>
      <c r="L924" s="693"/>
      <c r="M924" s="693"/>
      <c r="N924" s="693"/>
      <c r="O924" s="693"/>
      <c r="P924" s="693"/>
      <c r="Q924" s="693"/>
    </row>
    <row r="925" spans="1:17" ht="13.5">
      <c r="A925" s="693"/>
      <c r="B925" s="693"/>
      <c r="C925" s="693"/>
      <c r="D925" s="693"/>
      <c r="E925" s="693"/>
      <c r="F925" s="693"/>
      <c r="G925" s="693"/>
      <c r="H925" s="693"/>
      <c r="I925" s="693"/>
      <c r="J925" s="693"/>
      <c r="K925" s="693"/>
      <c r="L925" s="693"/>
      <c r="M925" s="693"/>
      <c r="N925" s="693"/>
      <c r="O925" s="693"/>
      <c r="P925" s="693"/>
      <c r="Q925" s="693"/>
    </row>
    <row r="926" spans="1:17" ht="13.5">
      <c r="A926" s="693"/>
      <c r="B926" s="693"/>
      <c r="C926" s="693"/>
      <c r="D926" s="693"/>
      <c r="E926" s="693"/>
      <c r="F926" s="693"/>
      <c r="G926" s="693"/>
      <c r="H926" s="693"/>
      <c r="I926" s="693"/>
      <c r="J926" s="693"/>
      <c r="K926" s="693"/>
      <c r="L926" s="693"/>
      <c r="M926" s="693"/>
      <c r="N926" s="693"/>
      <c r="O926" s="693"/>
      <c r="P926" s="693"/>
      <c r="Q926" s="693"/>
    </row>
    <row r="927" spans="1:17" ht="13.5">
      <c r="A927" s="693"/>
      <c r="B927" s="693"/>
      <c r="C927" s="693"/>
      <c r="D927" s="693"/>
      <c r="E927" s="693"/>
      <c r="F927" s="693"/>
      <c r="G927" s="693"/>
      <c r="H927" s="693"/>
      <c r="I927" s="693"/>
      <c r="J927" s="693"/>
      <c r="K927" s="693"/>
      <c r="L927" s="693"/>
      <c r="M927" s="693"/>
      <c r="N927" s="693"/>
      <c r="O927" s="693"/>
      <c r="P927" s="693"/>
      <c r="Q927" s="693"/>
    </row>
    <row r="928" spans="1:17" ht="13.5">
      <c r="A928" s="693"/>
      <c r="B928" s="693"/>
      <c r="C928" s="693"/>
      <c r="D928" s="693"/>
      <c r="E928" s="693"/>
      <c r="F928" s="693"/>
      <c r="G928" s="693"/>
      <c r="H928" s="693"/>
      <c r="I928" s="693"/>
      <c r="J928" s="693"/>
      <c r="K928" s="693"/>
      <c r="L928" s="693"/>
      <c r="M928" s="693"/>
      <c r="N928" s="693"/>
      <c r="O928" s="693"/>
      <c r="P928" s="693"/>
      <c r="Q928" s="693"/>
    </row>
    <row r="929" spans="1:17" ht="13.5">
      <c r="A929" s="693"/>
      <c r="B929" s="693"/>
      <c r="C929" s="693"/>
      <c r="D929" s="693"/>
      <c r="E929" s="693"/>
      <c r="F929" s="693"/>
      <c r="G929" s="693"/>
      <c r="H929" s="693"/>
      <c r="I929" s="693"/>
      <c r="J929" s="693"/>
      <c r="K929" s="693"/>
      <c r="L929" s="693"/>
      <c r="M929" s="693"/>
      <c r="N929" s="693"/>
      <c r="O929" s="693"/>
      <c r="P929" s="693"/>
      <c r="Q929" s="693"/>
    </row>
    <row r="930" spans="1:17" ht="13.5">
      <c r="A930" s="693"/>
      <c r="B930" s="693"/>
      <c r="C930" s="693"/>
      <c r="D930" s="693"/>
      <c r="E930" s="693"/>
      <c r="F930" s="693"/>
      <c r="G930" s="693"/>
      <c r="H930" s="693"/>
      <c r="I930" s="693"/>
      <c r="J930" s="693"/>
      <c r="K930" s="693"/>
      <c r="L930" s="693"/>
      <c r="M930" s="693"/>
      <c r="N930" s="693"/>
      <c r="O930" s="693"/>
      <c r="P930" s="693"/>
      <c r="Q930" s="693"/>
    </row>
    <row r="931" spans="1:17" ht="13.5">
      <c r="A931" s="693"/>
      <c r="B931" s="693"/>
      <c r="C931" s="693"/>
      <c r="D931" s="693"/>
      <c r="E931" s="693"/>
      <c r="F931" s="693"/>
      <c r="G931" s="693"/>
      <c r="H931" s="693"/>
      <c r="I931" s="693"/>
      <c r="J931" s="693"/>
      <c r="K931" s="693"/>
      <c r="L931" s="693"/>
      <c r="M931" s="693"/>
      <c r="N931" s="693"/>
      <c r="O931" s="693"/>
      <c r="P931" s="693"/>
      <c r="Q931" s="693"/>
    </row>
    <row r="932" spans="1:17" ht="13.5">
      <c r="A932" s="693"/>
      <c r="B932" s="693"/>
      <c r="C932" s="693"/>
      <c r="D932" s="693"/>
      <c r="E932" s="693"/>
      <c r="F932" s="693"/>
      <c r="G932" s="693"/>
      <c r="H932" s="693"/>
      <c r="I932" s="693"/>
      <c r="J932" s="693"/>
      <c r="K932" s="693"/>
      <c r="L932" s="693"/>
      <c r="M932" s="693"/>
      <c r="N932" s="693"/>
      <c r="O932" s="693"/>
      <c r="P932" s="693"/>
      <c r="Q932" s="693"/>
    </row>
    <row r="933" spans="1:17" ht="13.5">
      <c r="A933" s="693"/>
      <c r="B933" s="693"/>
      <c r="C933" s="693"/>
      <c r="D933" s="693"/>
      <c r="E933" s="693"/>
      <c r="F933" s="693"/>
      <c r="G933" s="693"/>
      <c r="H933" s="693"/>
      <c r="I933" s="693"/>
      <c r="J933" s="693"/>
      <c r="K933" s="693"/>
      <c r="L933" s="693"/>
      <c r="M933" s="693"/>
      <c r="N933" s="693"/>
      <c r="O933" s="693"/>
      <c r="P933" s="693"/>
      <c r="Q933" s="693"/>
    </row>
    <row r="934" spans="1:17" ht="13.5">
      <c r="A934" s="693"/>
      <c r="B934" s="693"/>
      <c r="C934" s="693"/>
      <c r="D934" s="693"/>
      <c r="E934" s="693"/>
      <c r="F934" s="693"/>
      <c r="G934" s="693"/>
      <c r="H934" s="693"/>
      <c r="I934" s="693"/>
      <c r="J934" s="693"/>
      <c r="K934" s="693"/>
      <c r="L934" s="693"/>
      <c r="M934" s="693"/>
      <c r="N934" s="693"/>
      <c r="O934" s="693"/>
      <c r="P934" s="693"/>
      <c r="Q934" s="693"/>
    </row>
    <row r="935" spans="1:17" ht="13.5">
      <c r="A935" s="693"/>
      <c r="B935" s="693"/>
      <c r="C935" s="693"/>
      <c r="D935" s="693"/>
      <c r="E935" s="693"/>
      <c r="F935" s="693"/>
      <c r="G935" s="693"/>
      <c r="H935" s="693"/>
      <c r="I935" s="693"/>
      <c r="J935" s="693"/>
      <c r="K935" s="693"/>
      <c r="L935" s="693"/>
      <c r="M935" s="693"/>
      <c r="N935" s="693"/>
      <c r="O935" s="693"/>
      <c r="P935" s="693"/>
      <c r="Q935" s="693"/>
    </row>
    <row r="936" spans="1:17" ht="13.5">
      <c r="A936" s="693"/>
      <c r="B936" s="693"/>
      <c r="C936" s="693"/>
      <c r="D936" s="693"/>
      <c r="E936" s="693"/>
      <c r="F936" s="693"/>
      <c r="G936" s="693"/>
      <c r="H936" s="693"/>
      <c r="I936" s="693"/>
      <c r="J936" s="693"/>
      <c r="K936" s="693"/>
      <c r="L936" s="693"/>
      <c r="M936" s="693"/>
      <c r="N936" s="693"/>
      <c r="O936" s="693"/>
      <c r="P936" s="693"/>
      <c r="Q936" s="693"/>
    </row>
    <row r="937" spans="1:17" ht="13.5">
      <c r="A937" s="693"/>
      <c r="B937" s="693"/>
      <c r="C937" s="693"/>
      <c r="D937" s="693"/>
      <c r="E937" s="693"/>
      <c r="F937" s="693"/>
      <c r="G937" s="693"/>
      <c r="H937" s="693"/>
      <c r="I937" s="693"/>
      <c r="J937" s="693"/>
      <c r="K937" s="693"/>
      <c r="L937" s="693"/>
      <c r="M937" s="693"/>
      <c r="N937" s="693"/>
      <c r="O937" s="693"/>
      <c r="P937" s="693"/>
      <c r="Q937" s="693"/>
    </row>
    <row r="938" spans="1:17" ht="13.5">
      <c r="A938" s="693"/>
      <c r="B938" s="693"/>
      <c r="C938" s="693"/>
      <c r="D938" s="693"/>
      <c r="E938" s="693"/>
      <c r="F938" s="693"/>
      <c r="G938" s="693"/>
      <c r="H938" s="693"/>
      <c r="I938" s="693"/>
      <c r="J938" s="693"/>
      <c r="K938" s="693"/>
      <c r="L938" s="693"/>
      <c r="M938" s="693"/>
      <c r="N938" s="693"/>
      <c r="O938" s="693"/>
      <c r="P938" s="693"/>
      <c r="Q938" s="693"/>
    </row>
    <row r="939" spans="1:17" ht="13.5">
      <c r="A939" s="693"/>
      <c r="B939" s="693"/>
      <c r="C939" s="693"/>
      <c r="D939" s="693"/>
      <c r="E939" s="693"/>
      <c r="F939" s="693"/>
      <c r="G939" s="693"/>
      <c r="H939" s="693"/>
      <c r="I939" s="693"/>
      <c r="J939" s="693"/>
      <c r="K939" s="693"/>
      <c r="L939" s="693"/>
      <c r="M939" s="693"/>
      <c r="N939" s="693"/>
      <c r="O939" s="693"/>
      <c r="P939" s="693"/>
      <c r="Q939" s="693"/>
    </row>
    <row r="940" spans="1:17" ht="13.5">
      <c r="A940" s="693"/>
      <c r="B940" s="693"/>
      <c r="C940" s="693"/>
      <c r="D940" s="693"/>
      <c r="E940" s="693"/>
      <c r="F940" s="693"/>
      <c r="G940" s="693"/>
      <c r="H940" s="693"/>
      <c r="I940" s="693"/>
      <c r="J940" s="693"/>
      <c r="K940" s="693"/>
      <c r="L940" s="693"/>
      <c r="M940" s="693"/>
      <c r="N940" s="693"/>
      <c r="O940" s="693"/>
      <c r="P940" s="693"/>
      <c r="Q940" s="693"/>
    </row>
    <row r="941" spans="1:17" ht="13.5">
      <c r="A941" s="693"/>
      <c r="B941" s="693"/>
      <c r="C941" s="693"/>
      <c r="D941" s="693"/>
      <c r="E941" s="693"/>
      <c r="F941" s="693"/>
      <c r="G941" s="693"/>
      <c r="H941" s="693"/>
      <c r="I941" s="693"/>
      <c r="J941" s="693"/>
      <c r="K941" s="693"/>
      <c r="L941" s="693"/>
      <c r="M941" s="693"/>
      <c r="N941" s="693"/>
      <c r="O941" s="693"/>
      <c r="P941" s="693"/>
      <c r="Q941" s="693"/>
    </row>
    <row r="942" spans="1:17" ht="13.5">
      <c r="A942" s="693"/>
      <c r="B942" s="693"/>
      <c r="C942" s="693"/>
      <c r="D942" s="693"/>
      <c r="E942" s="693"/>
      <c r="F942" s="693"/>
      <c r="G942" s="693"/>
      <c r="H942" s="693"/>
      <c r="I942" s="693"/>
      <c r="J942" s="693"/>
      <c r="K942" s="693"/>
      <c r="L942" s="693"/>
      <c r="M942" s="693"/>
      <c r="N942" s="693"/>
      <c r="O942" s="693"/>
      <c r="P942" s="693"/>
      <c r="Q942" s="693"/>
    </row>
    <row r="943" spans="1:17" ht="13.5">
      <c r="A943" s="693"/>
      <c r="B943" s="693"/>
      <c r="C943" s="693"/>
      <c r="D943" s="693"/>
      <c r="E943" s="693"/>
      <c r="F943" s="693"/>
      <c r="G943" s="693"/>
      <c r="H943" s="693"/>
      <c r="I943" s="693"/>
      <c r="J943" s="693"/>
      <c r="K943" s="693"/>
      <c r="L943" s="693"/>
      <c r="M943" s="693"/>
      <c r="N943" s="693"/>
      <c r="O943" s="693"/>
      <c r="P943" s="693"/>
      <c r="Q943" s="693"/>
    </row>
    <row r="944" spans="1:17" ht="13.5">
      <c r="A944" s="693"/>
      <c r="B944" s="693"/>
      <c r="C944" s="693"/>
      <c r="D944" s="693"/>
      <c r="E944" s="693"/>
      <c r="F944" s="693"/>
      <c r="G944" s="693"/>
      <c r="H944" s="693"/>
      <c r="I944" s="693"/>
      <c r="J944" s="693"/>
      <c r="K944" s="693"/>
      <c r="L944" s="693"/>
      <c r="M944" s="693"/>
      <c r="N944" s="693"/>
      <c r="O944" s="693"/>
      <c r="P944" s="693"/>
      <c r="Q944" s="693"/>
    </row>
    <row r="945" spans="1:17" ht="13.5">
      <c r="A945" s="693"/>
      <c r="B945" s="693"/>
      <c r="C945" s="693"/>
      <c r="D945" s="693"/>
      <c r="E945" s="693"/>
      <c r="F945" s="693"/>
      <c r="G945" s="693"/>
      <c r="H945" s="693"/>
      <c r="I945" s="693"/>
      <c r="J945" s="693"/>
      <c r="K945" s="693"/>
      <c r="L945" s="693"/>
      <c r="M945" s="693"/>
      <c r="N945" s="693"/>
      <c r="O945" s="693"/>
      <c r="P945" s="693"/>
      <c r="Q945" s="693"/>
    </row>
    <row r="946" spans="1:17" ht="13.5">
      <c r="A946" s="693"/>
      <c r="B946" s="693"/>
      <c r="C946" s="693"/>
      <c r="D946" s="693"/>
      <c r="E946" s="693"/>
      <c r="F946" s="693"/>
      <c r="G946" s="693"/>
      <c r="H946" s="693"/>
      <c r="I946" s="693"/>
      <c r="J946" s="693"/>
      <c r="K946" s="693"/>
      <c r="L946" s="693"/>
      <c r="M946" s="693"/>
      <c r="N946" s="693"/>
      <c r="O946" s="693"/>
      <c r="P946" s="693"/>
      <c r="Q946" s="693"/>
    </row>
    <row r="947" spans="1:17" ht="13.5">
      <c r="A947" s="693"/>
      <c r="B947" s="693"/>
      <c r="C947" s="693"/>
      <c r="D947" s="693"/>
      <c r="E947" s="693"/>
      <c r="F947" s="693"/>
      <c r="G947" s="693"/>
      <c r="H947" s="693"/>
      <c r="I947" s="693"/>
      <c r="J947" s="693"/>
      <c r="K947" s="693"/>
      <c r="L947" s="693"/>
      <c r="M947" s="693"/>
      <c r="N947" s="693"/>
      <c r="O947" s="693"/>
      <c r="P947" s="693"/>
      <c r="Q947" s="693"/>
    </row>
    <row r="948" spans="1:17" ht="13.5">
      <c r="A948" s="693"/>
      <c r="B948" s="693"/>
      <c r="C948" s="693"/>
      <c r="D948" s="693"/>
      <c r="E948" s="693"/>
      <c r="F948" s="693"/>
      <c r="G948" s="693"/>
      <c r="H948" s="693"/>
      <c r="I948" s="693"/>
      <c r="J948" s="693"/>
      <c r="K948" s="693"/>
      <c r="L948" s="693"/>
      <c r="M948" s="693"/>
      <c r="N948" s="693"/>
      <c r="O948" s="693"/>
      <c r="P948" s="693"/>
      <c r="Q948" s="693"/>
    </row>
    <row r="949" spans="1:17" ht="13.5">
      <c r="A949" s="693"/>
      <c r="B949" s="693"/>
      <c r="C949" s="693"/>
      <c r="D949" s="693"/>
      <c r="E949" s="693"/>
      <c r="F949" s="693"/>
      <c r="G949" s="693"/>
      <c r="H949" s="693"/>
      <c r="I949" s="693"/>
      <c r="J949" s="693"/>
      <c r="K949" s="693"/>
      <c r="L949" s="693"/>
      <c r="M949" s="693"/>
      <c r="N949" s="693"/>
      <c r="O949" s="693"/>
      <c r="P949" s="693"/>
      <c r="Q949" s="693"/>
    </row>
    <row r="950" spans="1:17" ht="13.5">
      <c r="A950" s="693"/>
      <c r="B950" s="693"/>
      <c r="C950" s="693"/>
      <c r="D950" s="693"/>
      <c r="E950" s="693"/>
      <c r="F950" s="693"/>
      <c r="G950" s="693"/>
      <c r="H950" s="693"/>
      <c r="I950" s="693"/>
      <c r="J950" s="693"/>
      <c r="K950" s="693"/>
      <c r="L950" s="693"/>
      <c r="M950" s="693"/>
      <c r="N950" s="693"/>
      <c r="O950" s="693"/>
      <c r="P950" s="693"/>
      <c r="Q950" s="693"/>
    </row>
    <row r="951" spans="1:17" ht="13.5">
      <c r="A951" s="693"/>
      <c r="B951" s="693"/>
      <c r="C951" s="693"/>
      <c r="D951" s="693"/>
      <c r="E951" s="693"/>
      <c r="F951" s="693"/>
      <c r="G951" s="693"/>
      <c r="H951" s="693"/>
      <c r="I951" s="693"/>
      <c r="J951" s="693"/>
      <c r="K951" s="693"/>
      <c r="L951" s="693"/>
      <c r="M951" s="693"/>
      <c r="N951" s="693"/>
      <c r="O951" s="693"/>
      <c r="P951" s="693"/>
      <c r="Q951" s="693"/>
    </row>
    <row r="952" spans="1:17" ht="13.5">
      <c r="A952" s="693"/>
      <c r="B952" s="693"/>
      <c r="C952" s="693"/>
      <c r="D952" s="693"/>
      <c r="E952" s="693"/>
      <c r="F952" s="693"/>
      <c r="G952" s="693"/>
      <c r="H952" s="693"/>
      <c r="I952" s="693"/>
      <c r="J952" s="693"/>
      <c r="K952" s="693"/>
      <c r="L952" s="693"/>
      <c r="M952" s="693"/>
      <c r="N952" s="693"/>
      <c r="O952" s="693"/>
      <c r="P952" s="693"/>
      <c r="Q952" s="693"/>
    </row>
    <row r="953" spans="1:17" ht="13.5">
      <c r="A953" s="693"/>
      <c r="B953" s="693"/>
      <c r="C953" s="693"/>
      <c r="D953" s="693"/>
      <c r="E953" s="693"/>
      <c r="F953" s="693"/>
      <c r="G953" s="693"/>
      <c r="H953" s="693"/>
      <c r="I953" s="693"/>
      <c r="J953" s="693"/>
      <c r="K953" s="693"/>
      <c r="L953" s="693"/>
      <c r="M953" s="693"/>
      <c r="N953" s="693"/>
      <c r="O953" s="693"/>
      <c r="P953" s="693"/>
      <c r="Q953" s="693"/>
    </row>
    <row r="954" spans="1:17" ht="13.5">
      <c r="A954" s="693"/>
      <c r="B954" s="693"/>
      <c r="C954" s="693"/>
      <c r="D954" s="693"/>
      <c r="E954" s="693"/>
      <c r="F954" s="693"/>
      <c r="G954" s="693"/>
      <c r="H954" s="693"/>
      <c r="I954" s="693"/>
      <c r="J954" s="693"/>
      <c r="K954" s="693"/>
      <c r="L954" s="693"/>
      <c r="M954" s="693"/>
      <c r="N954" s="693"/>
      <c r="O954" s="693"/>
      <c r="P954" s="693"/>
      <c r="Q954" s="693"/>
    </row>
    <row r="955" spans="1:17" ht="13.5">
      <c r="A955" s="693"/>
      <c r="B955" s="693"/>
      <c r="C955" s="693"/>
      <c r="D955" s="693"/>
      <c r="E955" s="693"/>
      <c r="F955" s="693"/>
      <c r="G955" s="693"/>
      <c r="H955" s="693"/>
      <c r="I955" s="693"/>
      <c r="J955" s="693"/>
      <c r="K955" s="693"/>
      <c r="L955" s="693"/>
      <c r="M955" s="693"/>
      <c r="N955" s="693"/>
      <c r="O955" s="693"/>
      <c r="P955" s="693"/>
      <c r="Q955" s="693"/>
    </row>
    <row r="956" spans="1:17" ht="13.5">
      <c r="A956" s="693"/>
      <c r="B956" s="693"/>
      <c r="C956" s="693"/>
      <c r="D956" s="693"/>
      <c r="E956" s="693"/>
      <c r="F956" s="693"/>
      <c r="G956" s="693"/>
      <c r="H956" s="693"/>
      <c r="I956" s="693"/>
      <c r="J956" s="693"/>
      <c r="K956" s="693"/>
      <c r="L956" s="693"/>
      <c r="M956" s="693"/>
      <c r="N956" s="693"/>
      <c r="O956" s="693"/>
      <c r="P956" s="693"/>
      <c r="Q956" s="693"/>
    </row>
    <row r="957" spans="1:17" ht="13.5">
      <c r="A957" s="693"/>
      <c r="B957" s="693"/>
      <c r="C957" s="693"/>
      <c r="D957" s="693"/>
      <c r="E957" s="693"/>
      <c r="F957" s="693"/>
      <c r="G957" s="693"/>
      <c r="H957" s="693"/>
      <c r="I957" s="693"/>
      <c r="J957" s="693"/>
      <c r="K957" s="693"/>
      <c r="L957" s="693"/>
      <c r="M957" s="693"/>
      <c r="N957" s="693"/>
      <c r="O957" s="693"/>
      <c r="P957" s="693"/>
      <c r="Q957" s="693"/>
    </row>
    <row r="958" spans="1:17" ht="13.5">
      <c r="A958" s="693"/>
      <c r="B958" s="693"/>
      <c r="C958" s="693"/>
      <c r="D958" s="693"/>
      <c r="E958" s="693"/>
      <c r="F958" s="693"/>
      <c r="G958" s="693"/>
      <c r="H958" s="693"/>
      <c r="I958" s="693"/>
      <c r="J958" s="693"/>
      <c r="K958" s="693"/>
      <c r="L958" s="693"/>
      <c r="M958" s="693"/>
      <c r="N958" s="693"/>
      <c r="O958" s="693"/>
      <c r="P958" s="693"/>
      <c r="Q958" s="693"/>
    </row>
    <row r="959" spans="1:17" ht="13.5">
      <c r="A959" s="693"/>
      <c r="B959" s="693"/>
      <c r="C959" s="693"/>
      <c r="D959" s="693"/>
      <c r="E959" s="693"/>
      <c r="F959" s="693"/>
      <c r="G959" s="693"/>
      <c r="H959" s="693"/>
      <c r="I959" s="693"/>
      <c r="J959" s="693"/>
      <c r="K959" s="693"/>
      <c r="L959" s="693"/>
      <c r="M959" s="693"/>
      <c r="N959" s="693"/>
      <c r="O959" s="693"/>
      <c r="P959" s="693"/>
      <c r="Q959" s="693"/>
    </row>
    <row r="960" spans="1:17" ht="13.5">
      <c r="A960" s="693"/>
      <c r="B960" s="693"/>
      <c r="C960" s="693"/>
      <c r="D960" s="693"/>
      <c r="E960" s="693"/>
      <c r="F960" s="693"/>
      <c r="G960" s="693"/>
      <c r="H960" s="693"/>
      <c r="I960" s="693"/>
      <c r="J960" s="693"/>
      <c r="K960" s="693"/>
      <c r="L960" s="693"/>
      <c r="M960" s="693"/>
      <c r="N960" s="693"/>
      <c r="O960" s="693"/>
      <c r="P960" s="693"/>
      <c r="Q960" s="693"/>
    </row>
    <row r="961" spans="1:17" ht="13.5">
      <c r="A961" s="693"/>
      <c r="B961" s="693"/>
      <c r="C961" s="693"/>
      <c r="D961" s="693"/>
      <c r="E961" s="693"/>
      <c r="F961" s="693"/>
      <c r="G961" s="693"/>
      <c r="H961" s="693"/>
      <c r="I961" s="693"/>
      <c r="J961" s="693"/>
      <c r="K961" s="693"/>
      <c r="L961" s="693"/>
      <c r="M961" s="693"/>
      <c r="N961" s="693"/>
      <c r="O961" s="693"/>
      <c r="P961" s="693"/>
      <c r="Q961" s="693"/>
    </row>
    <row r="962" spans="1:17" ht="13.5">
      <c r="A962" s="693"/>
      <c r="B962" s="693"/>
      <c r="C962" s="693"/>
      <c r="D962" s="693"/>
      <c r="E962" s="693"/>
      <c r="F962" s="693"/>
      <c r="G962" s="693"/>
      <c r="H962" s="693"/>
      <c r="I962" s="693"/>
      <c r="J962" s="693"/>
      <c r="K962" s="693"/>
      <c r="L962" s="693"/>
      <c r="M962" s="693"/>
      <c r="N962" s="693"/>
      <c r="O962" s="693"/>
      <c r="P962" s="693"/>
      <c r="Q962" s="693"/>
    </row>
    <row r="963" spans="1:17" ht="13.5">
      <c r="A963" s="693"/>
      <c r="B963" s="693"/>
      <c r="C963" s="693"/>
      <c r="D963" s="693"/>
      <c r="E963" s="693"/>
      <c r="F963" s="693"/>
      <c r="G963" s="693"/>
      <c r="H963" s="693"/>
      <c r="I963" s="693"/>
      <c r="J963" s="693"/>
      <c r="K963" s="693"/>
      <c r="L963" s="693"/>
      <c r="M963" s="693"/>
      <c r="N963" s="693"/>
      <c r="O963" s="693"/>
      <c r="P963" s="693"/>
      <c r="Q963" s="693"/>
    </row>
    <row r="964" spans="1:17" ht="13.5">
      <c r="A964" s="693"/>
      <c r="B964" s="693"/>
      <c r="C964" s="693"/>
      <c r="D964" s="693"/>
      <c r="E964" s="693"/>
      <c r="F964" s="693"/>
      <c r="G964" s="693"/>
      <c r="H964" s="693"/>
      <c r="I964" s="693"/>
      <c r="J964" s="693"/>
      <c r="K964" s="693"/>
      <c r="L964" s="693"/>
      <c r="M964" s="693"/>
      <c r="N964" s="693"/>
      <c r="O964" s="693"/>
      <c r="P964" s="693"/>
      <c r="Q964" s="693"/>
    </row>
    <row r="965" spans="1:17" ht="13.5">
      <c r="A965" s="693"/>
      <c r="B965" s="693"/>
      <c r="C965" s="693"/>
      <c r="D965" s="693"/>
      <c r="E965" s="693"/>
      <c r="F965" s="693"/>
      <c r="G965" s="693"/>
      <c r="H965" s="693"/>
      <c r="I965" s="693"/>
      <c r="J965" s="693"/>
      <c r="K965" s="693"/>
      <c r="L965" s="693"/>
      <c r="M965" s="693"/>
      <c r="N965" s="693"/>
      <c r="O965" s="693"/>
      <c r="P965" s="693"/>
      <c r="Q965" s="693"/>
    </row>
    <row r="966" spans="1:17" ht="13.5">
      <c r="A966" s="693"/>
      <c r="B966" s="693"/>
      <c r="C966" s="693"/>
      <c r="D966" s="693"/>
      <c r="E966" s="693"/>
      <c r="F966" s="693"/>
      <c r="G966" s="693"/>
      <c r="H966" s="693"/>
      <c r="I966" s="693"/>
      <c r="J966" s="693"/>
      <c r="K966" s="693"/>
      <c r="L966" s="693"/>
      <c r="M966" s="693"/>
      <c r="N966" s="693"/>
      <c r="O966" s="693"/>
      <c r="P966" s="693"/>
      <c r="Q966" s="693"/>
    </row>
    <row r="967" spans="1:17" ht="13.5">
      <c r="A967" s="693"/>
      <c r="B967" s="693"/>
      <c r="C967" s="693"/>
      <c r="D967" s="693"/>
      <c r="E967" s="693"/>
      <c r="F967" s="693"/>
      <c r="G967" s="693"/>
      <c r="H967" s="693"/>
      <c r="I967" s="693"/>
      <c r="J967" s="693"/>
      <c r="K967" s="693"/>
      <c r="L967" s="693"/>
      <c r="M967" s="693"/>
      <c r="N967" s="693"/>
      <c r="O967" s="693"/>
      <c r="P967" s="693"/>
      <c r="Q967" s="693"/>
    </row>
    <row r="968" spans="1:17" ht="13.5">
      <c r="A968" s="693"/>
      <c r="B968" s="693"/>
      <c r="C968" s="693"/>
      <c r="D968" s="693"/>
      <c r="E968" s="693"/>
      <c r="F968" s="693"/>
      <c r="G968" s="693"/>
      <c r="H968" s="693"/>
      <c r="I968" s="693"/>
      <c r="J968" s="693"/>
      <c r="K968" s="693"/>
      <c r="L968" s="693"/>
      <c r="M968" s="693"/>
      <c r="N968" s="693"/>
      <c r="O968" s="693"/>
      <c r="P968" s="693"/>
      <c r="Q968" s="693"/>
    </row>
    <row r="969" spans="1:17" ht="13.5">
      <c r="A969" s="693"/>
      <c r="B969" s="693"/>
      <c r="C969" s="693"/>
      <c r="D969" s="693"/>
      <c r="E969" s="693"/>
      <c r="F969" s="693"/>
      <c r="G969" s="693"/>
      <c r="H969" s="693"/>
      <c r="I969" s="693"/>
      <c r="J969" s="693"/>
      <c r="K969" s="693"/>
      <c r="L969" s="693"/>
      <c r="M969" s="693"/>
      <c r="N969" s="693"/>
      <c r="O969" s="693"/>
      <c r="P969" s="693"/>
      <c r="Q969" s="693"/>
    </row>
    <row r="970" spans="1:17" ht="13.5">
      <c r="A970" s="693"/>
      <c r="B970" s="693"/>
      <c r="C970" s="693"/>
      <c r="D970" s="693"/>
      <c r="E970" s="693"/>
      <c r="F970" s="693"/>
      <c r="G970" s="693"/>
      <c r="H970" s="693"/>
      <c r="I970" s="693"/>
      <c r="J970" s="693"/>
      <c r="K970" s="693"/>
      <c r="L970" s="693"/>
      <c r="M970" s="693"/>
      <c r="N970" s="693"/>
      <c r="O970" s="693"/>
      <c r="P970" s="693"/>
      <c r="Q970" s="693"/>
    </row>
    <row r="971" spans="1:17" ht="13.5">
      <c r="A971" s="693"/>
      <c r="B971" s="693"/>
      <c r="C971" s="693"/>
      <c r="D971" s="693"/>
      <c r="E971" s="693"/>
      <c r="F971" s="693"/>
      <c r="G971" s="693"/>
      <c r="H971" s="693"/>
      <c r="I971" s="693"/>
      <c r="J971" s="693"/>
      <c r="K971" s="693"/>
      <c r="L971" s="693"/>
      <c r="M971" s="693"/>
      <c r="N971" s="693"/>
      <c r="O971" s="693"/>
      <c r="P971" s="693"/>
      <c r="Q971" s="693"/>
    </row>
    <row r="972" spans="1:17" ht="13.5">
      <c r="A972" s="693"/>
      <c r="B972" s="693"/>
      <c r="C972" s="693"/>
      <c r="D972" s="693"/>
      <c r="E972" s="693"/>
      <c r="F972" s="693"/>
      <c r="G972" s="693"/>
      <c r="H972" s="693"/>
      <c r="I972" s="693"/>
      <c r="J972" s="693"/>
      <c r="K972" s="693"/>
      <c r="L972" s="693"/>
      <c r="M972" s="693"/>
      <c r="N972" s="693"/>
      <c r="O972" s="693"/>
      <c r="P972" s="693"/>
      <c r="Q972" s="693"/>
    </row>
    <row r="973" spans="1:17" ht="13.5">
      <c r="A973" s="693"/>
      <c r="B973" s="693"/>
      <c r="C973" s="693"/>
      <c r="D973" s="693"/>
      <c r="E973" s="693"/>
      <c r="F973" s="693"/>
      <c r="G973" s="693"/>
      <c r="H973" s="693"/>
      <c r="I973" s="693"/>
      <c r="J973" s="693"/>
      <c r="K973" s="693"/>
      <c r="L973" s="693"/>
      <c r="M973" s="693"/>
      <c r="N973" s="693"/>
      <c r="O973" s="693"/>
      <c r="P973" s="693"/>
      <c r="Q973" s="693"/>
    </row>
    <row r="974" spans="1:17" ht="13.5">
      <c r="A974" s="693"/>
      <c r="B974" s="693"/>
      <c r="C974" s="693"/>
      <c r="D974" s="693"/>
      <c r="E974" s="693"/>
      <c r="F974" s="693"/>
      <c r="G974" s="693"/>
      <c r="H974" s="693"/>
      <c r="I974" s="693"/>
      <c r="J974" s="693"/>
      <c r="K974" s="693"/>
      <c r="L974" s="693"/>
      <c r="M974" s="693"/>
      <c r="N974" s="693"/>
      <c r="O974" s="693"/>
      <c r="P974" s="693"/>
      <c r="Q974" s="693"/>
    </row>
    <row r="975" spans="1:17" ht="13.5">
      <c r="A975" s="693"/>
      <c r="B975" s="693"/>
      <c r="C975" s="693"/>
      <c r="D975" s="693"/>
      <c r="E975" s="693"/>
      <c r="F975" s="693"/>
      <c r="G975" s="693"/>
      <c r="H975" s="693"/>
      <c r="I975" s="693"/>
      <c r="J975" s="693"/>
      <c r="K975" s="693"/>
      <c r="L975" s="693"/>
      <c r="M975" s="693"/>
      <c r="N975" s="693"/>
      <c r="O975" s="693"/>
      <c r="P975" s="693"/>
      <c r="Q975" s="693"/>
    </row>
    <row r="976" spans="1:17" ht="13.5">
      <c r="A976" s="693"/>
      <c r="B976" s="693"/>
      <c r="C976" s="693"/>
      <c r="D976" s="693"/>
      <c r="E976" s="693"/>
      <c r="F976" s="693"/>
      <c r="G976" s="693"/>
      <c r="H976" s="693"/>
      <c r="I976" s="693"/>
      <c r="J976" s="693"/>
      <c r="K976" s="693"/>
      <c r="L976" s="693"/>
      <c r="M976" s="693"/>
      <c r="N976" s="693"/>
      <c r="O976" s="693"/>
      <c r="P976" s="693"/>
      <c r="Q976" s="693"/>
    </row>
    <row r="977" spans="1:17" ht="13.5">
      <c r="A977" s="693"/>
      <c r="B977" s="693"/>
      <c r="C977" s="693"/>
      <c r="D977" s="693"/>
      <c r="E977" s="693"/>
      <c r="F977" s="693"/>
      <c r="G977" s="693"/>
      <c r="H977" s="693"/>
      <c r="I977" s="693"/>
      <c r="J977" s="693"/>
      <c r="K977" s="693"/>
      <c r="L977" s="693"/>
      <c r="M977" s="693"/>
      <c r="N977" s="693"/>
      <c r="O977" s="693"/>
      <c r="P977" s="693"/>
      <c r="Q977" s="693"/>
    </row>
    <row r="978" spans="1:17" ht="13.5">
      <c r="A978" s="693"/>
      <c r="B978" s="693"/>
      <c r="C978" s="693"/>
      <c r="D978" s="693"/>
      <c r="E978" s="693"/>
      <c r="F978" s="693"/>
      <c r="G978" s="693"/>
      <c r="H978" s="693"/>
      <c r="I978" s="693"/>
      <c r="J978" s="693"/>
      <c r="K978" s="693"/>
      <c r="L978" s="693"/>
      <c r="M978" s="693"/>
      <c r="N978" s="693"/>
      <c r="O978" s="693"/>
      <c r="P978" s="693"/>
      <c r="Q978" s="693"/>
    </row>
    <row r="979" spans="1:17" ht="13.5">
      <c r="A979" s="693"/>
      <c r="B979" s="693"/>
      <c r="C979" s="693"/>
      <c r="D979" s="693"/>
      <c r="E979" s="693"/>
      <c r="F979" s="693"/>
      <c r="G979" s="693"/>
      <c r="H979" s="693"/>
      <c r="I979" s="693"/>
      <c r="J979" s="693"/>
      <c r="K979" s="693"/>
      <c r="L979" s="693"/>
      <c r="M979" s="693"/>
      <c r="N979" s="693"/>
      <c r="O979" s="693"/>
      <c r="P979" s="693"/>
      <c r="Q979" s="693"/>
    </row>
    <row r="980" spans="1:17" ht="13.5">
      <c r="A980" s="693"/>
      <c r="B980" s="693"/>
      <c r="C980" s="693"/>
      <c r="D980" s="693"/>
      <c r="E980" s="693"/>
      <c r="F980" s="693"/>
      <c r="G980" s="693"/>
      <c r="H980" s="693"/>
      <c r="I980" s="693"/>
      <c r="J980" s="693"/>
      <c r="K980" s="693"/>
      <c r="L980" s="693"/>
      <c r="M980" s="693"/>
      <c r="N980" s="693"/>
      <c r="O980" s="693"/>
      <c r="P980" s="693"/>
      <c r="Q980" s="693"/>
    </row>
    <row r="981" spans="1:17" ht="13.5">
      <c r="A981" s="693"/>
      <c r="B981" s="693"/>
      <c r="C981" s="693"/>
      <c r="D981" s="693"/>
      <c r="E981" s="693"/>
      <c r="F981" s="693"/>
      <c r="G981" s="693"/>
      <c r="H981" s="693"/>
      <c r="I981" s="693"/>
      <c r="J981" s="693"/>
      <c r="K981" s="693"/>
      <c r="L981" s="693"/>
      <c r="M981" s="693"/>
      <c r="N981" s="693"/>
      <c r="O981" s="693"/>
      <c r="P981" s="693"/>
      <c r="Q981" s="693"/>
    </row>
    <row r="982" spans="1:17" ht="13.5">
      <c r="A982" s="693"/>
      <c r="B982" s="693"/>
      <c r="C982" s="693"/>
      <c r="D982" s="693"/>
      <c r="E982" s="693"/>
      <c r="F982" s="693"/>
      <c r="G982" s="693"/>
      <c r="H982" s="693"/>
      <c r="I982" s="693"/>
      <c r="J982" s="693"/>
      <c r="K982" s="693"/>
      <c r="L982" s="693"/>
      <c r="M982" s="693"/>
      <c r="N982" s="693"/>
      <c r="O982" s="693"/>
      <c r="P982" s="693"/>
      <c r="Q982" s="693"/>
    </row>
    <row r="983" spans="1:17" ht="13.5">
      <c r="A983" s="693"/>
      <c r="B983" s="693"/>
      <c r="C983" s="693"/>
      <c r="D983" s="693"/>
      <c r="E983" s="693"/>
      <c r="F983" s="693"/>
      <c r="G983" s="693"/>
      <c r="H983" s="693"/>
      <c r="I983" s="693"/>
      <c r="J983" s="693"/>
      <c r="K983" s="693"/>
      <c r="L983" s="693"/>
      <c r="M983" s="693"/>
      <c r="N983" s="693"/>
      <c r="O983" s="693"/>
      <c r="P983" s="693"/>
      <c r="Q983" s="693"/>
    </row>
    <row r="984" spans="1:17" ht="13.5">
      <c r="A984" s="693"/>
      <c r="B984" s="693"/>
      <c r="C984" s="693"/>
      <c r="D984" s="693"/>
      <c r="E984" s="693"/>
      <c r="F984" s="693"/>
      <c r="G984" s="693"/>
      <c r="H984" s="693"/>
      <c r="I984" s="693"/>
      <c r="J984" s="693"/>
      <c r="K984" s="693"/>
      <c r="L984" s="693"/>
      <c r="M984" s="693"/>
      <c r="N984" s="693"/>
      <c r="O984" s="693"/>
      <c r="P984" s="693"/>
      <c r="Q984" s="693"/>
    </row>
    <row r="985" spans="1:17" ht="13.5">
      <c r="A985" s="693"/>
      <c r="B985" s="693"/>
      <c r="C985" s="693"/>
      <c r="D985" s="693"/>
      <c r="E985" s="693"/>
      <c r="F985" s="693"/>
      <c r="G985" s="693"/>
      <c r="H985" s="693"/>
      <c r="I985" s="693"/>
      <c r="J985" s="693"/>
      <c r="K985" s="693"/>
      <c r="L985" s="693"/>
      <c r="M985" s="693"/>
      <c r="N985" s="693"/>
      <c r="O985" s="693"/>
      <c r="P985" s="693"/>
      <c r="Q985" s="693"/>
    </row>
    <row r="986" spans="1:17" ht="13.5">
      <c r="A986" s="693"/>
      <c r="B986" s="693"/>
      <c r="C986" s="693"/>
      <c r="D986" s="693"/>
      <c r="E986" s="693"/>
      <c r="F986" s="693"/>
      <c r="G986" s="693"/>
      <c r="H986" s="693"/>
      <c r="I986" s="693"/>
      <c r="J986" s="693"/>
      <c r="K986" s="693"/>
      <c r="L986" s="693"/>
      <c r="M986" s="693"/>
      <c r="N986" s="693"/>
      <c r="O986" s="693"/>
      <c r="P986" s="693"/>
      <c r="Q986" s="693"/>
    </row>
    <row r="987" spans="1:17" ht="13.5">
      <c r="A987" s="693"/>
      <c r="B987" s="693"/>
      <c r="C987" s="693"/>
      <c r="D987" s="693"/>
      <c r="E987" s="693"/>
      <c r="F987" s="693"/>
      <c r="G987" s="693"/>
      <c r="H987" s="693"/>
      <c r="I987" s="693"/>
      <c r="J987" s="693"/>
      <c r="K987" s="693"/>
      <c r="L987" s="693"/>
      <c r="M987" s="693"/>
      <c r="N987" s="693"/>
      <c r="O987" s="693"/>
      <c r="P987" s="693"/>
      <c r="Q987" s="693"/>
    </row>
    <row r="988" spans="1:17" ht="13.5">
      <c r="A988" s="693"/>
      <c r="B988" s="693"/>
      <c r="C988" s="693"/>
      <c r="D988" s="693"/>
      <c r="E988" s="693"/>
      <c r="F988" s="693"/>
      <c r="G988" s="693"/>
      <c r="H988" s="693"/>
      <c r="I988" s="693"/>
      <c r="J988" s="693"/>
      <c r="K988" s="693"/>
      <c r="L988" s="693"/>
      <c r="M988" s="693"/>
      <c r="N988" s="693"/>
      <c r="O988" s="693"/>
      <c r="P988" s="693"/>
      <c r="Q988" s="693"/>
    </row>
    <row r="989" spans="1:17" ht="13.5">
      <c r="A989" s="693"/>
      <c r="B989" s="693"/>
      <c r="C989" s="693"/>
      <c r="D989" s="693"/>
      <c r="E989" s="693"/>
      <c r="F989" s="693"/>
      <c r="G989" s="693"/>
      <c r="H989" s="693"/>
      <c r="I989" s="693"/>
      <c r="J989" s="693"/>
      <c r="K989" s="693"/>
      <c r="L989" s="693"/>
      <c r="M989" s="693"/>
      <c r="N989" s="693"/>
      <c r="O989" s="693"/>
      <c r="P989" s="693"/>
      <c r="Q989" s="693"/>
    </row>
    <row r="990" spans="1:17" ht="13.5">
      <c r="A990" s="693"/>
      <c r="B990" s="693"/>
      <c r="C990" s="693"/>
      <c r="D990" s="693"/>
      <c r="E990" s="693"/>
      <c r="F990" s="693"/>
      <c r="G990" s="693"/>
      <c r="H990" s="693"/>
      <c r="I990" s="693"/>
      <c r="J990" s="693"/>
      <c r="K990" s="693"/>
      <c r="L990" s="693"/>
      <c r="M990" s="693"/>
      <c r="N990" s="693"/>
      <c r="O990" s="693"/>
      <c r="P990" s="693"/>
      <c r="Q990" s="693"/>
    </row>
    <row r="991" spans="1:17" ht="13.5">
      <c r="A991" s="693"/>
      <c r="B991" s="693"/>
      <c r="C991" s="693"/>
      <c r="D991" s="693"/>
      <c r="E991" s="693"/>
      <c r="F991" s="693"/>
      <c r="G991" s="693"/>
      <c r="H991" s="693"/>
      <c r="I991" s="693"/>
      <c r="J991" s="693"/>
      <c r="K991" s="693"/>
      <c r="L991" s="693"/>
      <c r="M991" s="693"/>
      <c r="N991" s="693"/>
      <c r="O991" s="693"/>
      <c r="P991" s="693"/>
      <c r="Q991" s="693"/>
    </row>
    <row r="992" spans="1:17" ht="13.5">
      <c r="A992" s="693"/>
      <c r="B992" s="693"/>
      <c r="C992" s="693"/>
      <c r="D992" s="693"/>
      <c r="E992" s="693"/>
      <c r="F992" s="693"/>
      <c r="G992" s="693"/>
      <c r="H992" s="693"/>
      <c r="I992" s="693"/>
      <c r="J992" s="693"/>
      <c r="K992" s="693"/>
      <c r="L992" s="693"/>
      <c r="M992" s="693"/>
      <c r="N992" s="693"/>
      <c r="O992" s="693"/>
      <c r="P992" s="693"/>
      <c r="Q992" s="693"/>
    </row>
    <row r="993" spans="1:17" ht="13.5">
      <c r="A993" s="693"/>
      <c r="B993" s="693"/>
      <c r="C993" s="693"/>
      <c r="D993" s="693"/>
      <c r="E993" s="693"/>
      <c r="F993" s="693"/>
      <c r="G993" s="693"/>
      <c r="H993" s="693"/>
      <c r="I993" s="693"/>
      <c r="J993" s="693"/>
      <c r="K993" s="693"/>
      <c r="L993" s="693"/>
      <c r="M993" s="693"/>
      <c r="N993" s="693"/>
      <c r="O993" s="693"/>
      <c r="P993" s="693"/>
      <c r="Q993" s="693"/>
    </row>
    <row r="994" spans="1:17" ht="13.5">
      <c r="A994" s="693"/>
      <c r="B994" s="693"/>
      <c r="C994" s="693"/>
      <c r="D994" s="693"/>
      <c r="E994" s="693"/>
      <c r="F994" s="693"/>
      <c r="G994" s="693"/>
      <c r="H994" s="693"/>
      <c r="I994" s="693"/>
      <c r="J994" s="693"/>
      <c r="K994" s="693"/>
      <c r="L994" s="693"/>
      <c r="M994" s="693"/>
      <c r="N994" s="693"/>
      <c r="O994" s="693"/>
      <c r="P994" s="693"/>
      <c r="Q994" s="693"/>
    </row>
    <row r="995" spans="1:17" ht="13.5">
      <c r="A995" s="693"/>
      <c r="B995" s="693"/>
      <c r="C995" s="693"/>
      <c r="D995" s="693"/>
      <c r="E995" s="693"/>
      <c r="F995" s="693"/>
      <c r="G995" s="693"/>
      <c r="H995" s="693"/>
      <c r="I995" s="693"/>
      <c r="J995" s="693"/>
      <c r="K995" s="693"/>
      <c r="L995" s="693"/>
      <c r="M995" s="693"/>
      <c r="N995" s="693"/>
      <c r="O995" s="693"/>
      <c r="P995" s="693"/>
      <c r="Q995" s="693"/>
    </row>
    <row r="996" spans="1:17" ht="13.5">
      <c r="A996" s="693"/>
      <c r="B996" s="693"/>
      <c r="C996" s="693"/>
      <c r="D996" s="693"/>
      <c r="E996" s="693"/>
      <c r="F996" s="693"/>
      <c r="G996" s="693"/>
      <c r="H996" s="693"/>
      <c r="I996" s="693"/>
      <c r="J996" s="693"/>
      <c r="K996" s="693"/>
      <c r="L996" s="693"/>
      <c r="M996" s="693"/>
      <c r="N996" s="693"/>
      <c r="O996" s="693"/>
      <c r="P996" s="693"/>
      <c r="Q996" s="693"/>
    </row>
    <row r="997" spans="1:17" ht="13.5">
      <c r="A997" s="693"/>
      <c r="B997" s="693"/>
      <c r="C997" s="693"/>
      <c r="D997" s="693"/>
      <c r="E997" s="693"/>
      <c r="F997" s="693"/>
      <c r="G997" s="693"/>
      <c r="H997" s="693"/>
      <c r="I997" s="693"/>
      <c r="J997" s="693"/>
      <c r="K997" s="693"/>
      <c r="L997" s="693"/>
      <c r="M997" s="693"/>
      <c r="N997" s="693"/>
      <c r="O997" s="693"/>
      <c r="P997" s="693"/>
      <c r="Q997" s="693"/>
    </row>
    <row r="998" spans="1:17" ht="13.5">
      <c r="A998" s="693"/>
      <c r="B998" s="693"/>
      <c r="C998" s="693"/>
      <c r="D998" s="693"/>
      <c r="E998" s="693"/>
      <c r="F998" s="693"/>
      <c r="G998" s="693"/>
      <c r="H998" s="693"/>
      <c r="I998" s="693"/>
      <c r="J998" s="693"/>
      <c r="K998" s="693"/>
      <c r="L998" s="693"/>
      <c r="M998" s="693"/>
      <c r="N998" s="693"/>
      <c r="O998" s="693"/>
      <c r="P998" s="693"/>
      <c r="Q998" s="693"/>
    </row>
    <row r="999" spans="1:17" ht="13.5">
      <c r="A999" s="693"/>
      <c r="B999" s="693"/>
      <c r="C999" s="693"/>
      <c r="D999" s="693"/>
      <c r="E999" s="693"/>
      <c r="F999" s="693"/>
      <c r="G999" s="693"/>
      <c r="H999" s="693"/>
      <c r="I999" s="693"/>
      <c r="J999" s="693"/>
      <c r="K999" s="693"/>
      <c r="L999" s="693"/>
      <c r="M999" s="693"/>
      <c r="N999" s="693"/>
      <c r="O999" s="693"/>
      <c r="P999" s="693"/>
      <c r="Q999" s="693"/>
    </row>
    <row r="1000" spans="1:17" ht="13.5">
      <c r="A1000" s="693"/>
      <c r="B1000" s="693"/>
      <c r="C1000" s="693"/>
      <c r="D1000" s="693"/>
      <c r="E1000" s="693"/>
      <c r="F1000" s="693"/>
      <c r="G1000" s="693"/>
      <c r="H1000" s="693"/>
      <c r="I1000" s="693"/>
      <c r="J1000" s="693"/>
      <c r="K1000" s="693"/>
      <c r="L1000" s="693"/>
      <c r="M1000" s="693"/>
      <c r="N1000" s="693"/>
      <c r="O1000" s="693"/>
      <c r="P1000" s="693"/>
      <c r="Q1000" s="693"/>
    </row>
    <row r="1001" spans="1:17" ht="13.5">
      <c r="A1001" s="693"/>
      <c r="B1001" s="693"/>
      <c r="C1001" s="693"/>
      <c r="D1001" s="693"/>
      <c r="E1001" s="693"/>
      <c r="F1001" s="693"/>
      <c r="G1001" s="693"/>
      <c r="H1001" s="693"/>
      <c r="I1001" s="693"/>
      <c r="J1001" s="693"/>
      <c r="K1001" s="693"/>
      <c r="L1001" s="693"/>
      <c r="M1001" s="693"/>
      <c r="N1001" s="693"/>
      <c r="O1001" s="693"/>
      <c r="P1001" s="693"/>
      <c r="Q1001" s="693"/>
    </row>
    <row r="1002" spans="1:17" ht="13.5">
      <c r="A1002" s="693"/>
      <c r="B1002" s="693"/>
      <c r="C1002" s="693"/>
      <c r="D1002" s="693"/>
      <c r="E1002" s="693"/>
      <c r="F1002" s="693"/>
      <c r="G1002" s="693"/>
      <c r="H1002" s="693"/>
      <c r="I1002" s="693"/>
      <c r="J1002" s="693"/>
      <c r="K1002" s="693"/>
      <c r="L1002" s="693"/>
      <c r="M1002" s="693"/>
      <c r="N1002" s="693"/>
      <c r="O1002" s="693"/>
      <c r="P1002" s="693"/>
      <c r="Q1002" s="693"/>
    </row>
    <row r="1003" spans="1:17" ht="13.5">
      <c r="A1003" s="693"/>
      <c r="B1003" s="693"/>
      <c r="C1003" s="693"/>
      <c r="D1003" s="693"/>
      <c r="E1003" s="693"/>
      <c r="F1003" s="693"/>
      <c r="G1003" s="693"/>
      <c r="H1003" s="693"/>
      <c r="I1003" s="693"/>
      <c r="J1003" s="693"/>
      <c r="K1003" s="693"/>
      <c r="L1003" s="693"/>
      <c r="M1003" s="693"/>
      <c r="N1003" s="693"/>
      <c r="O1003" s="693"/>
      <c r="P1003" s="693"/>
      <c r="Q1003" s="693"/>
    </row>
    <row r="1004" spans="1:17" ht="13.5">
      <c r="A1004" s="693"/>
      <c r="B1004" s="693"/>
      <c r="C1004" s="693"/>
      <c r="D1004" s="693"/>
      <c r="E1004" s="693"/>
      <c r="F1004" s="693"/>
      <c r="G1004" s="693"/>
      <c r="H1004" s="693"/>
      <c r="I1004" s="693"/>
      <c r="J1004" s="693"/>
      <c r="K1004" s="693"/>
      <c r="L1004" s="693"/>
      <c r="M1004" s="693"/>
      <c r="N1004" s="693"/>
      <c r="O1004" s="693"/>
      <c r="P1004" s="693"/>
      <c r="Q1004" s="693"/>
    </row>
    <row r="1005" spans="1:17" ht="13.5">
      <c r="A1005" s="693"/>
      <c r="B1005" s="693"/>
      <c r="C1005" s="693"/>
      <c r="D1005" s="693"/>
      <c r="E1005" s="693"/>
      <c r="F1005" s="693"/>
      <c r="G1005" s="693"/>
      <c r="H1005" s="693"/>
      <c r="I1005" s="693"/>
      <c r="J1005" s="693"/>
      <c r="K1005" s="693"/>
      <c r="L1005" s="693"/>
      <c r="M1005" s="693"/>
      <c r="N1005" s="693"/>
      <c r="O1005" s="693"/>
      <c r="P1005" s="693"/>
      <c r="Q1005" s="693"/>
    </row>
    <row r="1006" spans="1:17" ht="13.5">
      <c r="A1006" s="693"/>
      <c r="B1006" s="693"/>
      <c r="C1006" s="693"/>
      <c r="D1006" s="693"/>
      <c r="E1006" s="693"/>
      <c r="F1006" s="693"/>
      <c r="G1006" s="693"/>
      <c r="H1006" s="693"/>
      <c r="I1006" s="693"/>
      <c r="J1006" s="693"/>
      <c r="K1006" s="693"/>
      <c r="L1006" s="693"/>
      <c r="M1006" s="693"/>
      <c r="N1006" s="693"/>
      <c r="O1006" s="693"/>
      <c r="P1006" s="693"/>
      <c r="Q1006" s="693"/>
    </row>
    <row r="1007" spans="1:17" ht="13.5">
      <c r="A1007" s="693"/>
      <c r="B1007" s="693"/>
      <c r="C1007" s="693"/>
      <c r="D1007" s="693"/>
      <c r="E1007" s="693"/>
      <c r="F1007" s="693"/>
      <c r="G1007" s="693"/>
      <c r="H1007" s="693"/>
      <c r="I1007" s="693"/>
      <c r="J1007" s="693"/>
      <c r="K1007" s="693"/>
      <c r="L1007" s="693"/>
      <c r="M1007" s="693"/>
      <c r="N1007" s="693"/>
      <c r="O1007" s="693"/>
      <c r="P1007" s="693"/>
      <c r="Q1007" s="693"/>
    </row>
    <row r="1008" spans="1:17" ht="13.5">
      <c r="A1008" s="693"/>
      <c r="B1008" s="693"/>
      <c r="C1008" s="693"/>
      <c r="D1008" s="693"/>
      <c r="E1008" s="693"/>
      <c r="F1008" s="693"/>
      <c r="G1008" s="693"/>
      <c r="H1008" s="693"/>
      <c r="I1008" s="693"/>
      <c r="J1008" s="693"/>
      <c r="K1008" s="693"/>
      <c r="L1008" s="693"/>
      <c r="M1008" s="693"/>
      <c r="N1008" s="693"/>
      <c r="O1008" s="693"/>
      <c r="P1008" s="693"/>
      <c r="Q1008" s="693"/>
    </row>
    <row r="1009" spans="1:17" ht="13.5">
      <c r="A1009" s="693"/>
      <c r="B1009" s="693"/>
      <c r="C1009" s="693"/>
      <c r="D1009" s="693"/>
      <c r="E1009" s="693"/>
      <c r="F1009" s="693"/>
      <c r="G1009" s="693"/>
      <c r="H1009" s="693"/>
      <c r="I1009" s="693"/>
      <c r="J1009" s="693"/>
      <c r="K1009" s="693"/>
      <c r="L1009" s="693"/>
      <c r="M1009" s="693"/>
      <c r="N1009" s="693"/>
      <c r="O1009" s="693"/>
      <c r="P1009" s="693"/>
      <c r="Q1009" s="693"/>
    </row>
    <row r="1010" spans="1:17" ht="13.5">
      <c r="A1010" s="693"/>
      <c r="B1010" s="693"/>
      <c r="C1010" s="693"/>
      <c r="D1010" s="693"/>
      <c r="E1010" s="693"/>
      <c r="F1010" s="693"/>
      <c r="G1010" s="693"/>
      <c r="H1010" s="693"/>
      <c r="I1010" s="693"/>
      <c r="J1010" s="693"/>
      <c r="K1010" s="693"/>
      <c r="L1010" s="693"/>
      <c r="M1010" s="693"/>
      <c r="N1010" s="693"/>
      <c r="O1010" s="693"/>
      <c r="P1010" s="693"/>
      <c r="Q1010" s="693"/>
    </row>
    <row r="1011" spans="1:17" ht="13.5">
      <c r="A1011" s="693"/>
      <c r="B1011" s="693"/>
      <c r="C1011" s="693"/>
      <c r="D1011" s="693"/>
      <c r="E1011" s="693"/>
      <c r="F1011" s="693"/>
      <c r="G1011" s="693"/>
      <c r="H1011" s="693"/>
      <c r="I1011" s="693"/>
      <c r="J1011" s="693"/>
      <c r="K1011" s="693"/>
      <c r="L1011" s="693"/>
      <c r="M1011" s="693"/>
      <c r="N1011" s="693"/>
      <c r="O1011" s="693"/>
      <c r="P1011" s="693"/>
      <c r="Q1011" s="693"/>
    </row>
    <row r="1012" spans="1:17" ht="13.5">
      <c r="A1012" s="693"/>
      <c r="B1012" s="693"/>
      <c r="C1012" s="693"/>
      <c r="D1012" s="693"/>
      <c r="E1012" s="693"/>
      <c r="F1012" s="693"/>
      <c r="G1012" s="693"/>
      <c r="H1012" s="693"/>
      <c r="I1012" s="693"/>
      <c r="J1012" s="693"/>
      <c r="K1012" s="693"/>
      <c r="L1012" s="693"/>
      <c r="M1012" s="693"/>
      <c r="N1012" s="693"/>
      <c r="O1012" s="693"/>
      <c r="P1012" s="693"/>
      <c r="Q1012" s="693"/>
    </row>
    <row r="1013" spans="1:17" ht="13.5">
      <c r="A1013" s="693"/>
      <c r="B1013" s="693"/>
      <c r="C1013" s="693"/>
      <c r="D1013" s="693"/>
      <c r="E1013" s="693"/>
      <c r="F1013" s="693"/>
      <c r="G1013" s="693"/>
      <c r="H1013" s="693"/>
      <c r="I1013" s="693"/>
      <c r="J1013" s="693"/>
      <c r="K1013" s="693"/>
      <c r="L1013" s="693"/>
      <c r="M1013" s="693"/>
      <c r="N1013" s="693"/>
      <c r="O1013" s="693"/>
      <c r="P1013" s="693"/>
      <c r="Q1013" s="693"/>
    </row>
    <row r="1014" spans="1:17" ht="13.5">
      <c r="A1014" s="693"/>
      <c r="B1014" s="693"/>
      <c r="C1014" s="693"/>
      <c r="D1014" s="693"/>
      <c r="E1014" s="693"/>
      <c r="F1014" s="693"/>
      <c r="G1014" s="693"/>
      <c r="H1014" s="693"/>
      <c r="I1014" s="693"/>
      <c r="J1014" s="693"/>
      <c r="K1014" s="693"/>
      <c r="L1014" s="693"/>
      <c r="M1014" s="693"/>
      <c r="N1014" s="693"/>
      <c r="O1014" s="693"/>
      <c r="P1014" s="693"/>
      <c r="Q1014" s="693"/>
    </row>
    <row r="1015" spans="1:17" ht="13.5">
      <c r="A1015" s="693"/>
      <c r="B1015" s="693"/>
      <c r="C1015" s="693"/>
      <c r="D1015" s="693"/>
      <c r="E1015" s="693"/>
      <c r="F1015" s="693"/>
      <c r="G1015" s="693"/>
      <c r="H1015" s="693"/>
      <c r="I1015" s="693"/>
      <c r="J1015" s="693"/>
      <c r="K1015" s="693"/>
      <c r="L1015" s="693"/>
      <c r="M1015" s="693"/>
      <c r="N1015" s="693"/>
      <c r="O1015" s="693"/>
      <c r="P1015" s="693"/>
      <c r="Q1015" s="693"/>
    </row>
    <row r="1016" spans="1:17" ht="13.5">
      <c r="A1016" s="693"/>
      <c r="B1016" s="693"/>
      <c r="C1016" s="693"/>
      <c r="D1016" s="693"/>
      <c r="E1016" s="693"/>
      <c r="F1016" s="693"/>
      <c r="G1016" s="693"/>
      <c r="H1016" s="693"/>
      <c r="I1016" s="693"/>
      <c r="J1016" s="693"/>
      <c r="K1016" s="693"/>
      <c r="L1016" s="693"/>
      <c r="M1016" s="693"/>
      <c r="N1016" s="693"/>
      <c r="O1016" s="693"/>
      <c r="P1016" s="693"/>
      <c r="Q1016" s="693"/>
    </row>
    <row r="1017" spans="1:17" ht="13.5">
      <c r="A1017" s="693"/>
      <c r="B1017" s="693"/>
      <c r="C1017" s="693"/>
      <c r="D1017" s="693"/>
      <c r="E1017" s="693"/>
      <c r="F1017" s="693"/>
      <c r="G1017" s="693"/>
      <c r="H1017" s="693"/>
      <c r="I1017" s="693"/>
      <c r="J1017" s="693"/>
      <c r="K1017" s="693"/>
      <c r="L1017" s="693"/>
      <c r="M1017" s="693"/>
      <c r="N1017" s="693"/>
      <c r="O1017" s="693"/>
      <c r="P1017" s="693"/>
      <c r="Q1017" s="693"/>
    </row>
    <row r="1018" spans="1:17" ht="13.5">
      <c r="A1018" s="693"/>
      <c r="B1018" s="693"/>
      <c r="C1018" s="693"/>
      <c r="D1018" s="693"/>
      <c r="E1018" s="693"/>
      <c r="F1018" s="693"/>
      <c r="G1018" s="693"/>
      <c r="H1018" s="693"/>
      <c r="I1018" s="693"/>
      <c r="J1018" s="693"/>
      <c r="K1018" s="693"/>
      <c r="L1018" s="693"/>
      <c r="M1018" s="693"/>
      <c r="N1018" s="693"/>
      <c r="O1018" s="693"/>
      <c r="P1018" s="693"/>
      <c r="Q1018" s="693"/>
    </row>
    <row r="1019" spans="1:17" ht="13.5">
      <c r="A1019" s="693"/>
      <c r="B1019" s="693"/>
      <c r="C1019" s="693"/>
      <c r="D1019" s="693"/>
      <c r="E1019" s="693"/>
      <c r="F1019" s="693"/>
      <c r="G1019" s="693"/>
      <c r="H1019" s="693"/>
      <c r="I1019" s="693"/>
      <c r="J1019" s="693"/>
      <c r="K1019" s="693"/>
      <c r="L1019" s="693"/>
      <c r="M1019" s="693"/>
      <c r="N1019" s="693"/>
      <c r="O1019" s="693"/>
      <c r="P1019" s="693"/>
      <c r="Q1019" s="693"/>
    </row>
    <row r="1020" spans="1:17" ht="13.5">
      <c r="A1020" s="693"/>
      <c r="B1020" s="693"/>
      <c r="C1020" s="693"/>
      <c r="D1020" s="693"/>
      <c r="E1020" s="693"/>
      <c r="F1020" s="693"/>
      <c r="G1020" s="693"/>
      <c r="H1020" s="693"/>
      <c r="I1020" s="693"/>
      <c r="J1020" s="693"/>
      <c r="K1020" s="693"/>
      <c r="L1020" s="693"/>
      <c r="M1020" s="693"/>
      <c r="N1020" s="693"/>
      <c r="O1020" s="693"/>
      <c r="P1020" s="693"/>
      <c r="Q1020" s="693"/>
    </row>
    <row r="1021" spans="1:17" ht="13.5">
      <c r="A1021" s="693"/>
      <c r="B1021" s="693"/>
      <c r="C1021" s="693"/>
      <c r="D1021" s="693"/>
      <c r="E1021" s="693"/>
      <c r="F1021" s="693"/>
      <c r="G1021" s="693"/>
      <c r="H1021" s="693"/>
      <c r="I1021" s="693"/>
      <c r="J1021" s="693"/>
      <c r="K1021" s="693"/>
      <c r="L1021" s="693"/>
      <c r="M1021" s="693"/>
      <c r="N1021" s="693"/>
      <c r="O1021" s="693"/>
      <c r="P1021" s="693"/>
      <c r="Q1021" s="693"/>
    </row>
    <row r="1022" spans="1:17" ht="13.5">
      <c r="A1022" s="693"/>
      <c r="B1022" s="693"/>
      <c r="C1022" s="693"/>
      <c r="D1022" s="693"/>
      <c r="E1022" s="693"/>
      <c r="F1022" s="693"/>
      <c r="G1022" s="693"/>
      <c r="H1022" s="693"/>
      <c r="I1022" s="693"/>
      <c r="J1022" s="693"/>
      <c r="K1022" s="693"/>
      <c r="L1022" s="693"/>
      <c r="M1022" s="693"/>
      <c r="N1022" s="693"/>
      <c r="O1022" s="693"/>
      <c r="P1022" s="693"/>
      <c r="Q1022" s="693"/>
    </row>
    <row r="1023" spans="1:17" ht="13.5">
      <c r="A1023" s="693"/>
      <c r="B1023" s="693"/>
      <c r="C1023" s="693"/>
      <c r="D1023" s="693"/>
      <c r="E1023" s="693"/>
      <c r="F1023" s="693"/>
      <c r="G1023" s="693"/>
      <c r="H1023" s="693"/>
      <c r="I1023" s="693"/>
      <c r="J1023" s="693"/>
      <c r="K1023" s="693"/>
      <c r="L1023" s="693"/>
      <c r="M1023" s="693"/>
      <c r="N1023" s="693"/>
      <c r="O1023" s="693"/>
      <c r="P1023" s="693"/>
      <c r="Q1023" s="693"/>
    </row>
    <row r="1024" spans="1:17" ht="13.5">
      <c r="A1024" s="693"/>
      <c r="B1024" s="693"/>
      <c r="C1024" s="693"/>
      <c r="D1024" s="693"/>
      <c r="E1024" s="693"/>
      <c r="F1024" s="693"/>
      <c r="G1024" s="693"/>
      <c r="H1024" s="693"/>
      <c r="I1024" s="693"/>
      <c r="J1024" s="693"/>
      <c r="K1024" s="693"/>
      <c r="L1024" s="693"/>
      <c r="M1024" s="693"/>
      <c r="N1024" s="693"/>
      <c r="O1024" s="693"/>
      <c r="P1024" s="693"/>
      <c r="Q1024" s="693"/>
    </row>
    <row r="1025" spans="1:17" ht="13.5">
      <c r="A1025" s="693"/>
      <c r="B1025" s="693"/>
      <c r="C1025" s="693"/>
      <c r="D1025" s="693"/>
      <c r="E1025" s="693"/>
      <c r="F1025" s="693"/>
      <c r="G1025" s="693"/>
      <c r="H1025" s="693"/>
      <c r="I1025" s="693"/>
      <c r="J1025" s="693"/>
      <c r="K1025" s="693"/>
      <c r="L1025" s="693"/>
      <c r="M1025" s="693"/>
      <c r="N1025" s="693"/>
      <c r="O1025" s="693"/>
      <c r="P1025" s="693"/>
      <c r="Q1025" s="693"/>
    </row>
    <row r="1026" spans="1:17" ht="13.5">
      <c r="A1026" s="693"/>
      <c r="B1026" s="693"/>
      <c r="C1026" s="693"/>
      <c r="D1026" s="693"/>
      <c r="E1026" s="693"/>
      <c r="F1026" s="693"/>
      <c r="G1026" s="693"/>
      <c r="H1026" s="693"/>
      <c r="I1026" s="693"/>
      <c r="J1026" s="693"/>
      <c r="K1026" s="693"/>
      <c r="L1026" s="693"/>
      <c r="M1026" s="693"/>
      <c r="N1026" s="693"/>
      <c r="O1026" s="693"/>
      <c r="P1026" s="693"/>
      <c r="Q1026" s="693"/>
    </row>
    <row r="1027" spans="1:17" ht="13.5">
      <c r="A1027" s="693"/>
      <c r="B1027" s="693"/>
      <c r="C1027" s="693"/>
      <c r="D1027" s="693"/>
      <c r="E1027" s="693"/>
      <c r="F1027" s="693"/>
      <c r="G1027" s="693"/>
      <c r="H1027" s="693"/>
      <c r="I1027" s="693"/>
      <c r="J1027" s="693"/>
      <c r="K1027" s="693"/>
      <c r="L1027" s="693"/>
      <c r="M1027" s="693"/>
      <c r="N1027" s="693"/>
      <c r="O1027" s="693"/>
      <c r="P1027" s="693"/>
      <c r="Q1027" s="693"/>
    </row>
    <row r="1028" spans="1:17" ht="13.5">
      <c r="A1028" s="693"/>
      <c r="B1028" s="693"/>
      <c r="C1028" s="693"/>
      <c r="D1028" s="693"/>
      <c r="E1028" s="693"/>
      <c r="F1028" s="693"/>
      <c r="G1028" s="693"/>
      <c r="H1028" s="693"/>
      <c r="I1028" s="693"/>
      <c r="J1028" s="693"/>
      <c r="K1028" s="693"/>
      <c r="L1028" s="693"/>
      <c r="M1028" s="693"/>
      <c r="N1028" s="693"/>
      <c r="O1028" s="693"/>
      <c r="P1028" s="693"/>
      <c r="Q1028" s="693"/>
    </row>
    <row r="1029" spans="1:17" ht="13.5">
      <c r="A1029" s="693"/>
      <c r="B1029" s="693"/>
      <c r="C1029" s="693"/>
      <c r="D1029" s="693"/>
      <c r="E1029" s="693"/>
      <c r="F1029" s="693"/>
      <c r="G1029" s="693"/>
      <c r="H1029" s="693"/>
      <c r="I1029" s="693"/>
      <c r="J1029" s="693"/>
      <c r="K1029" s="693"/>
      <c r="L1029" s="693"/>
      <c r="M1029" s="693"/>
      <c r="N1029" s="693"/>
      <c r="O1029" s="693"/>
      <c r="P1029" s="693"/>
      <c r="Q1029" s="693"/>
    </row>
    <row r="1030" spans="1:17" ht="13.5">
      <c r="A1030" s="693"/>
      <c r="B1030" s="693"/>
      <c r="C1030" s="693"/>
      <c r="D1030" s="693"/>
      <c r="E1030" s="693"/>
      <c r="F1030" s="693"/>
      <c r="G1030" s="693"/>
      <c r="H1030" s="693"/>
      <c r="I1030" s="693"/>
      <c r="J1030" s="693"/>
      <c r="K1030" s="693"/>
      <c r="L1030" s="693"/>
      <c r="M1030" s="693"/>
      <c r="N1030" s="693"/>
      <c r="O1030" s="693"/>
      <c r="P1030" s="693"/>
      <c r="Q1030" s="693"/>
    </row>
    <row r="1031" spans="1:17" ht="13.5">
      <c r="A1031" s="693"/>
      <c r="B1031" s="693"/>
      <c r="C1031" s="693"/>
      <c r="D1031" s="693"/>
      <c r="E1031" s="693"/>
      <c r="F1031" s="693"/>
      <c r="G1031" s="693"/>
      <c r="H1031" s="693"/>
      <c r="I1031" s="693"/>
      <c r="J1031" s="693"/>
      <c r="K1031" s="693"/>
      <c r="L1031" s="693"/>
      <c r="M1031" s="693"/>
      <c r="N1031" s="693"/>
      <c r="O1031" s="693"/>
      <c r="P1031" s="693"/>
      <c r="Q1031" s="693"/>
    </row>
    <row r="1032" spans="1:17" ht="13.5">
      <c r="A1032" s="693"/>
      <c r="B1032" s="693"/>
      <c r="C1032" s="693"/>
      <c r="D1032" s="693"/>
      <c r="E1032" s="693"/>
      <c r="F1032" s="693"/>
      <c r="G1032" s="693"/>
      <c r="H1032" s="693"/>
      <c r="I1032" s="693"/>
      <c r="J1032" s="693"/>
      <c r="K1032" s="693"/>
      <c r="L1032" s="693"/>
      <c r="M1032" s="693"/>
      <c r="N1032" s="693"/>
      <c r="O1032" s="693"/>
      <c r="P1032" s="693"/>
      <c r="Q1032" s="693"/>
    </row>
    <row r="1033" spans="1:17" ht="13.5">
      <c r="A1033" s="693"/>
      <c r="B1033" s="693"/>
      <c r="C1033" s="693"/>
      <c r="D1033" s="693"/>
      <c r="E1033" s="693"/>
      <c r="F1033" s="693"/>
      <c r="G1033" s="693"/>
      <c r="H1033" s="693"/>
      <c r="I1033" s="693"/>
      <c r="J1033" s="693"/>
      <c r="K1033" s="693"/>
      <c r="L1033" s="693"/>
      <c r="M1033" s="693"/>
      <c r="N1033" s="693"/>
      <c r="O1033" s="693"/>
      <c r="P1033" s="693"/>
      <c r="Q1033" s="693"/>
    </row>
    <row r="1034" spans="1:17" ht="13.5">
      <c r="A1034" s="693"/>
      <c r="B1034" s="693"/>
      <c r="C1034" s="693"/>
      <c r="D1034" s="693"/>
      <c r="E1034" s="693"/>
      <c r="F1034" s="693"/>
      <c r="G1034" s="693"/>
      <c r="H1034" s="693"/>
      <c r="I1034" s="693"/>
      <c r="J1034" s="693"/>
      <c r="K1034" s="693"/>
      <c r="L1034" s="693"/>
      <c r="M1034" s="693"/>
      <c r="N1034" s="693"/>
      <c r="O1034" s="693"/>
      <c r="P1034" s="693"/>
      <c r="Q1034" s="693"/>
    </row>
    <row r="1035" spans="1:17" ht="13.5">
      <c r="A1035" s="693"/>
      <c r="B1035" s="693"/>
      <c r="C1035" s="693"/>
      <c r="D1035" s="693"/>
      <c r="E1035" s="693"/>
      <c r="F1035" s="693"/>
      <c r="G1035" s="693"/>
      <c r="H1035" s="693"/>
      <c r="I1035" s="693"/>
      <c r="J1035" s="693"/>
      <c r="K1035" s="693"/>
      <c r="L1035" s="693"/>
      <c r="M1035" s="693"/>
      <c r="N1035" s="693"/>
      <c r="O1035" s="693"/>
      <c r="P1035" s="693"/>
      <c r="Q1035" s="693"/>
    </row>
    <row r="1036" spans="1:17" ht="13.5">
      <c r="A1036" s="693"/>
      <c r="B1036" s="693"/>
      <c r="C1036" s="693"/>
      <c r="D1036" s="693"/>
      <c r="E1036" s="693"/>
      <c r="F1036" s="693"/>
      <c r="G1036" s="693"/>
      <c r="H1036" s="693"/>
      <c r="I1036" s="693"/>
      <c r="J1036" s="693"/>
      <c r="K1036" s="693"/>
      <c r="L1036" s="693"/>
      <c r="M1036" s="693"/>
      <c r="N1036" s="693"/>
      <c r="O1036" s="693"/>
      <c r="P1036" s="693"/>
      <c r="Q1036" s="693"/>
    </row>
    <row r="1037" spans="1:17" ht="13.5">
      <c r="A1037" s="693"/>
      <c r="B1037" s="693"/>
      <c r="C1037" s="693"/>
      <c r="D1037" s="693"/>
      <c r="E1037" s="693"/>
      <c r="F1037" s="693"/>
      <c r="G1037" s="693"/>
      <c r="H1037" s="693"/>
      <c r="I1037" s="693"/>
      <c r="J1037" s="693"/>
      <c r="K1037" s="693"/>
      <c r="L1037" s="693"/>
      <c r="M1037" s="693"/>
      <c r="N1037" s="693"/>
      <c r="O1037" s="693"/>
      <c r="P1037" s="693"/>
      <c r="Q1037" s="693"/>
    </row>
    <row r="1038" spans="1:17" ht="13.5">
      <c r="A1038" s="693"/>
      <c r="B1038" s="693"/>
      <c r="C1038" s="693"/>
      <c r="D1038" s="693"/>
      <c r="E1038" s="693"/>
      <c r="F1038" s="693"/>
      <c r="G1038" s="693"/>
      <c r="H1038" s="693"/>
      <c r="I1038" s="693"/>
      <c r="J1038" s="693"/>
      <c r="K1038" s="693"/>
      <c r="L1038" s="693"/>
      <c r="M1038" s="693"/>
      <c r="N1038" s="693"/>
      <c r="O1038" s="693"/>
      <c r="P1038" s="693"/>
      <c r="Q1038" s="693"/>
    </row>
    <row r="1039" spans="1:17" ht="13.5">
      <c r="A1039" s="693"/>
      <c r="B1039" s="693"/>
      <c r="C1039" s="693"/>
      <c r="D1039" s="693"/>
      <c r="E1039" s="693"/>
      <c r="F1039" s="693"/>
      <c r="G1039" s="693"/>
      <c r="H1039" s="693"/>
      <c r="I1039" s="693"/>
      <c r="J1039" s="693"/>
      <c r="K1039" s="693"/>
      <c r="L1039" s="693"/>
      <c r="M1039" s="693"/>
      <c r="N1039" s="693"/>
      <c r="O1039" s="693"/>
      <c r="P1039" s="693"/>
      <c r="Q1039" s="693"/>
    </row>
    <row r="1040" spans="1:17" ht="13.5">
      <c r="A1040" s="693"/>
      <c r="B1040" s="693"/>
      <c r="C1040" s="693"/>
      <c r="D1040" s="693"/>
      <c r="E1040" s="693"/>
      <c r="F1040" s="693"/>
      <c r="G1040" s="693"/>
      <c r="H1040" s="693"/>
      <c r="I1040" s="693"/>
      <c r="J1040" s="693"/>
      <c r="K1040" s="693"/>
      <c r="L1040" s="693"/>
      <c r="M1040" s="693"/>
      <c r="N1040" s="693"/>
      <c r="O1040" s="693"/>
      <c r="P1040" s="693"/>
      <c r="Q1040" s="693"/>
    </row>
    <row r="1041" spans="1:17" ht="13.5">
      <c r="A1041" s="693"/>
      <c r="B1041" s="693"/>
      <c r="C1041" s="693"/>
      <c r="D1041" s="693"/>
      <c r="E1041" s="693"/>
      <c r="F1041" s="693"/>
      <c r="G1041" s="693"/>
      <c r="H1041" s="693"/>
      <c r="I1041" s="693"/>
      <c r="J1041" s="693"/>
      <c r="K1041" s="693"/>
      <c r="L1041" s="693"/>
      <c r="M1041" s="693"/>
      <c r="N1041" s="693"/>
      <c r="O1041" s="693"/>
      <c r="P1041" s="693"/>
      <c r="Q1041" s="693"/>
    </row>
    <row r="1042" spans="1:17" ht="13.5">
      <c r="A1042" s="693"/>
      <c r="B1042" s="693"/>
      <c r="C1042" s="693"/>
      <c r="D1042" s="693"/>
      <c r="E1042" s="693"/>
      <c r="F1042" s="693"/>
      <c r="G1042" s="693"/>
      <c r="H1042" s="693"/>
      <c r="I1042" s="693"/>
      <c r="J1042" s="693"/>
      <c r="K1042" s="693"/>
      <c r="L1042" s="693"/>
      <c r="M1042" s="693"/>
      <c r="N1042" s="693"/>
      <c r="O1042" s="693"/>
      <c r="P1042" s="693"/>
      <c r="Q1042" s="693"/>
    </row>
    <row r="1043" spans="1:17" ht="13.5">
      <c r="A1043" s="693"/>
      <c r="B1043" s="693"/>
      <c r="C1043" s="693"/>
      <c r="D1043" s="693"/>
      <c r="E1043" s="693"/>
      <c r="F1043" s="693"/>
      <c r="G1043" s="693"/>
      <c r="H1043" s="693"/>
      <c r="I1043" s="693"/>
      <c r="J1043" s="693"/>
      <c r="K1043" s="693"/>
      <c r="L1043" s="693"/>
      <c r="M1043" s="693"/>
      <c r="N1043" s="693"/>
      <c r="O1043" s="693"/>
      <c r="P1043" s="693"/>
      <c r="Q1043" s="693"/>
    </row>
    <row r="1044" spans="1:17" ht="13.5">
      <c r="A1044" s="693"/>
      <c r="B1044" s="693"/>
      <c r="C1044" s="693"/>
      <c r="D1044" s="693"/>
      <c r="E1044" s="693"/>
      <c r="F1044" s="693"/>
      <c r="G1044" s="693"/>
      <c r="H1044" s="693"/>
      <c r="I1044" s="693"/>
      <c r="J1044" s="693"/>
      <c r="K1044" s="693"/>
      <c r="L1044" s="693"/>
      <c r="M1044" s="693"/>
      <c r="N1044" s="693"/>
      <c r="O1044" s="693"/>
      <c r="P1044" s="693"/>
      <c r="Q1044" s="693"/>
    </row>
    <row r="1045" spans="1:17" ht="13.5">
      <c r="A1045" s="693"/>
      <c r="B1045" s="693"/>
      <c r="C1045" s="693"/>
      <c r="D1045" s="693"/>
      <c r="E1045" s="693"/>
      <c r="F1045" s="693"/>
      <c r="G1045" s="693"/>
      <c r="H1045" s="693"/>
      <c r="I1045" s="693"/>
      <c r="J1045" s="693"/>
      <c r="K1045" s="693"/>
      <c r="L1045" s="693"/>
      <c r="M1045" s="693"/>
      <c r="N1045" s="693"/>
      <c r="O1045" s="693"/>
      <c r="P1045" s="693"/>
      <c r="Q1045" s="693"/>
    </row>
    <row r="1046" spans="1:17" ht="13.5">
      <c r="A1046" s="693"/>
      <c r="B1046" s="693"/>
      <c r="C1046" s="693"/>
      <c r="D1046" s="693"/>
      <c r="E1046" s="693"/>
      <c r="F1046" s="693"/>
      <c r="G1046" s="693"/>
      <c r="H1046" s="693"/>
      <c r="I1046" s="693"/>
      <c r="J1046" s="693"/>
      <c r="K1046" s="693"/>
      <c r="L1046" s="693"/>
      <c r="M1046" s="693"/>
      <c r="N1046" s="693"/>
      <c r="O1046" s="693"/>
      <c r="P1046" s="693"/>
      <c r="Q1046" s="693"/>
    </row>
    <row r="1047" spans="1:17" ht="13.5">
      <c r="A1047" s="693"/>
      <c r="B1047" s="693"/>
      <c r="C1047" s="693"/>
      <c r="D1047" s="693"/>
      <c r="E1047" s="693"/>
      <c r="F1047" s="693"/>
      <c r="G1047" s="693"/>
      <c r="H1047" s="693"/>
      <c r="I1047" s="693"/>
      <c r="J1047" s="693"/>
      <c r="K1047" s="693"/>
      <c r="L1047" s="693"/>
      <c r="M1047" s="693"/>
      <c r="N1047" s="693"/>
      <c r="O1047" s="693"/>
      <c r="P1047" s="693"/>
      <c r="Q1047" s="693"/>
    </row>
    <row r="1048" spans="1:17" ht="13.5">
      <c r="A1048" s="693"/>
      <c r="B1048" s="693"/>
      <c r="C1048" s="693"/>
      <c r="D1048" s="693"/>
      <c r="E1048" s="693"/>
      <c r="F1048" s="693"/>
      <c r="G1048" s="693"/>
      <c r="H1048" s="693"/>
      <c r="I1048" s="693"/>
      <c r="J1048" s="693"/>
      <c r="K1048" s="693"/>
      <c r="L1048" s="693"/>
      <c r="M1048" s="693"/>
      <c r="N1048" s="693"/>
      <c r="O1048" s="693"/>
      <c r="P1048" s="693"/>
      <c r="Q1048" s="693"/>
    </row>
    <row r="1049" spans="1:17" ht="13.5">
      <c r="A1049" s="693"/>
      <c r="B1049" s="693"/>
      <c r="C1049" s="693"/>
      <c r="D1049" s="693"/>
      <c r="E1049" s="693"/>
      <c r="F1049" s="693"/>
      <c r="G1049" s="693"/>
      <c r="H1049" s="693"/>
      <c r="I1049" s="693"/>
      <c r="J1049" s="693"/>
      <c r="K1049" s="693"/>
      <c r="L1049" s="693"/>
      <c r="M1049" s="693"/>
      <c r="N1049" s="693"/>
      <c r="O1049" s="693"/>
      <c r="P1049" s="693"/>
      <c r="Q1049" s="693"/>
    </row>
    <row r="1050" spans="1:17" ht="13.5">
      <c r="A1050" s="693"/>
      <c r="B1050" s="693"/>
      <c r="C1050" s="693"/>
      <c r="D1050" s="693"/>
      <c r="E1050" s="693"/>
      <c r="F1050" s="693"/>
      <c r="G1050" s="693"/>
      <c r="H1050" s="693"/>
      <c r="I1050" s="693"/>
      <c r="J1050" s="693"/>
      <c r="K1050" s="693"/>
      <c r="L1050" s="693"/>
      <c r="M1050" s="693"/>
      <c r="N1050" s="693"/>
      <c r="O1050" s="693"/>
      <c r="P1050" s="693"/>
      <c r="Q1050" s="693"/>
    </row>
    <row r="1051" spans="1:17" ht="13.5">
      <c r="A1051" s="693"/>
      <c r="B1051" s="693"/>
      <c r="C1051" s="693"/>
      <c r="D1051" s="693"/>
      <c r="E1051" s="693"/>
      <c r="F1051" s="693"/>
      <c r="G1051" s="693"/>
      <c r="H1051" s="693"/>
      <c r="I1051" s="693"/>
      <c r="J1051" s="693"/>
      <c r="K1051" s="693"/>
      <c r="L1051" s="693"/>
      <c r="M1051" s="693"/>
      <c r="N1051" s="693"/>
      <c r="O1051" s="693"/>
      <c r="P1051" s="693"/>
      <c r="Q1051" s="693"/>
    </row>
    <row r="1052" spans="1:17" ht="13.5">
      <c r="A1052" s="693"/>
      <c r="B1052" s="693"/>
      <c r="C1052" s="693"/>
      <c r="D1052" s="693"/>
      <c r="E1052" s="693"/>
      <c r="F1052" s="693"/>
      <c r="G1052" s="693"/>
      <c r="H1052" s="693"/>
      <c r="I1052" s="693"/>
      <c r="J1052" s="693"/>
      <c r="K1052" s="693"/>
      <c r="L1052" s="693"/>
      <c r="M1052" s="693"/>
      <c r="N1052" s="693"/>
      <c r="O1052" s="693"/>
      <c r="P1052" s="693"/>
      <c r="Q1052" s="693"/>
    </row>
    <row r="1053" spans="1:17" ht="13.5">
      <c r="A1053" s="693"/>
      <c r="B1053" s="693"/>
      <c r="C1053" s="693"/>
      <c r="D1053" s="693"/>
      <c r="E1053" s="693"/>
      <c r="F1053" s="693"/>
      <c r="G1053" s="693"/>
      <c r="H1053" s="693"/>
      <c r="I1053" s="693"/>
      <c r="J1053" s="693"/>
      <c r="K1053" s="693"/>
      <c r="L1053" s="693"/>
      <c r="M1053" s="693"/>
      <c r="N1053" s="693"/>
      <c r="O1053" s="693"/>
      <c r="P1053" s="693"/>
      <c r="Q1053" s="693"/>
    </row>
    <row r="1054" spans="1:17" ht="13.5">
      <c r="A1054" s="693"/>
      <c r="B1054" s="693"/>
      <c r="C1054" s="693"/>
      <c r="D1054" s="693"/>
      <c r="E1054" s="693"/>
      <c r="F1054" s="693"/>
      <c r="G1054" s="693"/>
      <c r="H1054" s="693"/>
      <c r="I1054" s="693"/>
      <c r="J1054" s="693"/>
      <c r="K1054" s="693"/>
      <c r="L1054" s="693"/>
      <c r="M1054" s="693"/>
      <c r="N1054" s="693"/>
      <c r="O1054" s="693"/>
      <c r="P1054" s="693"/>
      <c r="Q1054" s="693"/>
    </row>
    <row r="1055" spans="1:17" ht="13.5">
      <c r="A1055" s="693"/>
      <c r="B1055" s="693"/>
      <c r="C1055" s="693"/>
      <c r="D1055" s="693"/>
      <c r="E1055" s="693"/>
      <c r="F1055" s="693"/>
      <c r="G1055" s="693"/>
      <c r="H1055" s="693"/>
      <c r="I1055" s="693"/>
      <c r="J1055" s="693"/>
      <c r="K1055" s="693"/>
      <c r="L1055" s="693"/>
      <c r="M1055" s="693"/>
      <c r="N1055" s="693"/>
      <c r="O1055" s="693"/>
      <c r="P1055" s="693"/>
      <c r="Q1055" s="693"/>
    </row>
    <row r="1056" spans="1:17" ht="13.5">
      <c r="A1056" s="693"/>
      <c r="B1056" s="693"/>
      <c r="C1056" s="693"/>
      <c r="D1056" s="693"/>
      <c r="E1056" s="693"/>
      <c r="F1056" s="693"/>
      <c r="G1056" s="693"/>
      <c r="H1056" s="693"/>
      <c r="I1056" s="693"/>
      <c r="J1056" s="693"/>
      <c r="K1056" s="693"/>
      <c r="L1056" s="693"/>
      <c r="M1056" s="693"/>
      <c r="N1056" s="693"/>
      <c r="O1056" s="693"/>
      <c r="P1056" s="693"/>
      <c r="Q1056" s="693"/>
    </row>
    <row r="1057" spans="1:17" ht="13.5">
      <c r="A1057" s="693"/>
      <c r="B1057" s="693"/>
      <c r="C1057" s="693"/>
      <c r="D1057" s="693"/>
      <c r="E1057" s="693"/>
      <c r="F1057" s="693"/>
      <c r="G1057" s="693"/>
      <c r="H1057" s="693"/>
      <c r="I1057" s="693"/>
      <c r="J1057" s="693"/>
      <c r="K1057" s="693"/>
      <c r="L1057" s="693"/>
      <c r="M1057" s="693"/>
      <c r="N1057" s="693"/>
      <c r="O1057" s="693"/>
      <c r="P1057" s="693"/>
      <c r="Q1057" s="693"/>
    </row>
    <row r="1058" spans="1:17" ht="13.5">
      <c r="A1058" s="693"/>
      <c r="B1058" s="693"/>
      <c r="C1058" s="693"/>
      <c r="D1058" s="693"/>
      <c r="E1058" s="693"/>
      <c r="F1058" s="693"/>
      <c r="G1058" s="693"/>
      <c r="H1058" s="693"/>
      <c r="I1058" s="693"/>
      <c r="J1058" s="693"/>
      <c r="K1058" s="693"/>
      <c r="L1058" s="693"/>
      <c r="M1058" s="693"/>
      <c r="N1058" s="693"/>
      <c r="O1058" s="693"/>
      <c r="P1058" s="693"/>
      <c r="Q1058" s="693"/>
    </row>
    <row r="1059" spans="1:17" ht="13.5">
      <c r="A1059" s="693"/>
      <c r="B1059" s="693"/>
      <c r="C1059" s="693"/>
      <c r="D1059" s="693"/>
      <c r="E1059" s="693"/>
      <c r="F1059" s="693"/>
      <c r="G1059" s="693"/>
      <c r="H1059" s="693"/>
      <c r="I1059" s="693"/>
      <c r="J1059" s="693"/>
      <c r="K1059" s="693"/>
      <c r="L1059" s="693"/>
      <c r="M1059" s="693"/>
      <c r="N1059" s="693"/>
      <c r="O1059" s="693"/>
      <c r="P1059" s="693"/>
      <c r="Q1059" s="693"/>
    </row>
    <row r="1060" spans="1:17" ht="13.5">
      <c r="A1060" s="693"/>
      <c r="B1060" s="693"/>
      <c r="C1060" s="693"/>
      <c r="D1060" s="693"/>
      <c r="E1060" s="693"/>
      <c r="F1060" s="693"/>
      <c r="G1060" s="693"/>
      <c r="H1060" s="693"/>
      <c r="I1060" s="693"/>
      <c r="J1060" s="693"/>
      <c r="K1060" s="693"/>
      <c r="L1060" s="693"/>
      <c r="M1060" s="693"/>
      <c r="N1060" s="693"/>
      <c r="O1060" s="693"/>
      <c r="P1060" s="693"/>
      <c r="Q1060" s="693"/>
    </row>
    <row r="1061" spans="1:17" ht="13.5">
      <c r="A1061" s="693"/>
      <c r="B1061" s="693"/>
      <c r="C1061" s="693"/>
      <c r="D1061" s="693"/>
      <c r="E1061" s="693"/>
      <c r="F1061" s="693"/>
      <c r="G1061" s="693"/>
      <c r="H1061" s="693"/>
      <c r="I1061" s="693"/>
      <c r="J1061" s="693"/>
      <c r="K1061" s="693"/>
      <c r="L1061" s="693"/>
      <c r="M1061" s="693"/>
      <c r="N1061" s="693"/>
      <c r="O1061" s="693"/>
      <c r="P1061" s="693"/>
      <c r="Q1061" s="693"/>
    </row>
    <row r="1062" spans="1:17" ht="13.5">
      <c r="A1062" s="693"/>
      <c r="B1062" s="693"/>
      <c r="C1062" s="693"/>
      <c r="D1062" s="693"/>
      <c r="E1062" s="693"/>
      <c r="F1062" s="693"/>
      <c r="G1062" s="693"/>
      <c r="H1062" s="693"/>
      <c r="I1062" s="693"/>
      <c r="J1062" s="693"/>
      <c r="K1062" s="693"/>
      <c r="L1062" s="693"/>
      <c r="M1062" s="693"/>
      <c r="N1062" s="693"/>
      <c r="O1062" s="693"/>
      <c r="P1062" s="693"/>
      <c r="Q1062" s="693"/>
    </row>
    <row r="1063" spans="1:17" ht="13.5">
      <c r="A1063" s="693"/>
      <c r="B1063" s="693"/>
      <c r="C1063" s="693"/>
      <c r="D1063" s="693"/>
      <c r="E1063" s="693"/>
      <c r="F1063" s="693"/>
      <c r="G1063" s="693"/>
      <c r="H1063" s="693"/>
      <c r="I1063" s="693"/>
      <c r="J1063" s="693"/>
      <c r="K1063" s="693"/>
      <c r="L1063" s="693"/>
      <c r="M1063" s="693"/>
      <c r="N1063" s="693"/>
      <c r="O1063" s="693"/>
      <c r="P1063" s="693"/>
      <c r="Q1063" s="693"/>
    </row>
    <row r="1064" spans="1:17" ht="13.5">
      <c r="A1064" s="693"/>
      <c r="B1064" s="693"/>
      <c r="C1064" s="693"/>
      <c r="D1064" s="693"/>
      <c r="E1064" s="693"/>
      <c r="F1064" s="693"/>
      <c r="G1064" s="693"/>
      <c r="H1064" s="693"/>
      <c r="I1064" s="693"/>
      <c r="J1064" s="693"/>
      <c r="K1064" s="693"/>
      <c r="L1064" s="693"/>
      <c r="M1064" s="693"/>
      <c r="N1064" s="693"/>
      <c r="O1064" s="693"/>
      <c r="P1064" s="693"/>
      <c r="Q1064" s="693"/>
    </row>
    <row r="1065" spans="1:17" ht="13.5">
      <c r="A1065" s="693"/>
      <c r="B1065" s="693"/>
      <c r="C1065" s="693"/>
      <c r="D1065" s="693"/>
      <c r="E1065" s="693"/>
      <c r="F1065" s="693"/>
      <c r="G1065" s="693"/>
      <c r="H1065" s="693"/>
      <c r="I1065" s="693"/>
      <c r="J1065" s="693"/>
      <c r="K1065" s="693"/>
      <c r="L1065" s="693"/>
      <c r="M1065" s="693"/>
      <c r="N1065" s="693"/>
      <c r="O1065" s="693"/>
      <c r="P1065" s="693"/>
      <c r="Q1065" s="693"/>
    </row>
    <row r="1066" spans="1:17" ht="13.5">
      <c r="A1066" s="693"/>
      <c r="B1066" s="693"/>
      <c r="C1066" s="693"/>
      <c r="D1066" s="693"/>
      <c r="E1066" s="693"/>
      <c r="F1066" s="693"/>
      <c r="G1066" s="693"/>
      <c r="H1066" s="693"/>
      <c r="I1066" s="693"/>
      <c r="J1066" s="693"/>
      <c r="K1066" s="693"/>
      <c r="L1066" s="693"/>
      <c r="M1066" s="693"/>
      <c r="N1066" s="693"/>
      <c r="O1066" s="693"/>
      <c r="P1066" s="693"/>
      <c r="Q1066" s="693"/>
    </row>
    <row r="1067" spans="1:17" ht="13.5">
      <c r="A1067" s="693"/>
      <c r="B1067" s="693"/>
      <c r="C1067" s="693"/>
      <c r="D1067" s="693"/>
      <c r="E1067" s="693"/>
      <c r="F1067" s="693"/>
      <c r="G1067" s="693"/>
      <c r="H1067" s="693"/>
      <c r="I1067" s="693"/>
      <c r="J1067" s="693"/>
      <c r="K1067" s="693"/>
      <c r="L1067" s="693"/>
      <c r="M1067" s="693"/>
      <c r="N1067" s="693"/>
      <c r="O1067" s="693"/>
      <c r="P1067" s="693"/>
      <c r="Q1067" s="693"/>
    </row>
    <row r="1068" spans="1:17" ht="13.5">
      <c r="A1068" s="693"/>
      <c r="B1068" s="693"/>
      <c r="C1068" s="693"/>
      <c r="D1068" s="693"/>
      <c r="E1068" s="693"/>
      <c r="F1068" s="693"/>
      <c r="G1068" s="693"/>
      <c r="H1068" s="693"/>
      <c r="I1068" s="693"/>
      <c r="J1068" s="693"/>
      <c r="K1068" s="693"/>
      <c r="L1068" s="693"/>
      <c r="M1068" s="693"/>
      <c r="N1068" s="693"/>
      <c r="O1068" s="693"/>
      <c r="P1068" s="693"/>
      <c r="Q1068" s="693"/>
    </row>
    <row r="1069" spans="1:17" ht="13.5">
      <c r="A1069" s="693"/>
      <c r="B1069" s="693"/>
      <c r="C1069" s="693"/>
      <c r="D1069" s="693"/>
      <c r="E1069" s="693"/>
      <c r="F1069" s="693"/>
      <c r="G1069" s="693"/>
      <c r="H1069" s="693"/>
      <c r="I1069" s="693"/>
      <c r="J1069" s="693"/>
      <c r="K1069" s="693"/>
      <c r="L1069" s="693"/>
      <c r="M1069" s="693"/>
      <c r="N1069" s="693"/>
      <c r="O1069" s="693"/>
      <c r="P1069" s="693"/>
      <c r="Q1069" s="693"/>
    </row>
    <row r="1070" spans="1:17" ht="13.5">
      <c r="A1070" s="693"/>
      <c r="B1070" s="693"/>
      <c r="C1070" s="693"/>
      <c r="D1070" s="693"/>
      <c r="E1070" s="693"/>
      <c r="F1070" s="693"/>
      <c r="G1070" s="693"/>
      <c r="H1070" s="693"/>
      <c r="I1070" s="693"/>
      <c r="J1070" s="693"/>
      <c r="K1070" s="693"/>
      <c r="L1070" s="693"/>
      <c r="M1070" s="693"/>
      <c r="N1070" s="693"/>
      <c r="O1070" s="693"/>
      <c r="P1070" s="693"/>
      <c r="Q1070" s="693"/>
    </row>
    <row r="1071" spans="1:17" ht="13.5">
      <c r="A1071" s="693"/>
      <c r="B1071" s="693"/>
      <c r="C1071" s="693"/>
      <c r="D1071" s="693"/>
      <c r="E1071" s="693"/>
      <c r="F1071" s="693"/>
      <c r="G1071" s="693"/>
      <c r="H1071" s="693"/>
      <c r="I1071" s="693"/>
      <c r="J1071" s="693"/>
      <c r="K1071" s="693"/>
      <c r="L1071" s="693"/>
      <c r="M1071" s="693"/>
      <c r="N1071" s="693"/>
      <c r="O1071" s="693"/>
      <c r="P1071" s="693"/>
      <c r="Q1071" s="693"/>
    </row>
    <row r="1072" spans="1:17" ht="13.5">
      <c r="A1072" s="693"/>
      <c r="B1072" s="693"/>
      <c r="C1072" s="693"/>
      <c r="D1072" s="693"/>
      <c r="E1072" s="693"/>
      <c r="F1072" s="693"/>
      <c r="G1072" s="693"/>
      <c r="H1072" s="693"/>
      <c r="I1072" s="693"/>
      <c r="J1072" s="693"/>
      <c r="K1072" s="693"/>
      <c r="L1072" s="693"/>
      <c r="M1072" s="693"/>
      <c r="N1072" s="693"/>
      <c r="O1072" s="693"/>
      <c r="P1072" s="693"/>
      <c r="Q1072" s="693"/>
    </row>
    <row r="1073" spans="1:17" ht="13.5">
      <c r="A1073" s="693"/>
      <c r="B1073" s="693"/>
      <c r="C1073" s="693"/>
      <c r="D1073" s="693"/>
      <c r="E1073" s="693"/>
      <c r="F1073" s="693"/>
      <c r="G1073" s="693"/>
      <c r="H1073" s="693"/>
      <c r="I1073" s="693"/>
      <c r="J1073" s="693"/>
      <c r="K1073" s="693"/>
      <c r="L1073" s="693"/>
      <c r="M1073" s="693"/>
      <c r="N1073" s="693"/>
      <c r="O1073" s="693"/>
      <c r="P1073" s="693"/>
      <c r="Q1073" s="693"/>
    </row>
    <row r="1074" spans="1:17" ht="13.5">
      <c r="A1074" s="693"/>
      <c r="B1074" s="693"/>
      <c r="C1074" s="693"/>
      <c r="D1074" s="693"/>
      <c r="E1074" s="693"/>
      <c r="F1074" s="693"/>
      <c r="G1074" s="693"/>
      <c r="H1074" s="693"/>
      <c r="I1074" s="693"/>
      <c r="J1074" s="693"/>
      <c r="K1074" s="693"/>
      <c r="L1074" s="693"/>
      <c r="M1074" s="693"/>
      <c r="N1074" s="693"/>
      <c r="O1074" s="693"/>
      <c r="P1074" s="693"/>
      <c r="Q1074" s="693"/>
    </row>
    <row r="1075" spans="1:17" ht="13.5">
      <c r="A1075" s="693"/>
      <c r="B1075" s="693"/>
      <c r="C1075" s="693"/>
      <c r="D1075" s="693"/>
      <c r="E1075" s="693"/>
      <c r="F1075" s="693"/>
      <c r="G1075" s="693"/>
      <c r="H1075" s="693"/>
      <c r="I1075" s="693"/>
      <c r="J1075" s="693"/>
      <c r="K1075" s="693"/>
      <c r="L1075" s="693"/>
      <c r="M1075" s="693"/>
      <c r="N1075" s="693"/>
      <c r="O1075" s="693"/>
      <c r="P1075" s="693"/>
      <c r="Q1075" s="693"/>
    </row>
    <row r="1076" spans="1:17" ht="13.5">
      <c r="A1076" s="693"/>
      <c r="B1076" s="693"/>
      <c r="C1076" s="693"/>
      <c r="D1076" s="693"/>
      <c r="E1076" s="693"/>
      <c r="F1076" s="693"/>
      <c r="G1076" s="693"/>
      <c r="H1076" s="693"/>
      <c r="I1076" s="693"/>
      <c r="J1076" s="693"/>
      <c r="K1076" s="693"/>
      <c r="L1076" s="693"/>
      <c r="M1076" s="693"/>
      <c r="N1076" s="693"/>
      <c r="O1076" s="693"/>
      <c r="P1076" s="693"/>
      <c r="Q1076" s="693"/>
    </row>
    <row r="1077" spans="1:17" ht="13.5">
      <c r="A1077" s="693"/>
      <c r="B1077" s="693"/>
      <c r="C1077" s="693"/>
      <c r="D1077" s="693"/>
      <c r="E1077" s="693"/>
      <c r="F1077" s="693"/>
      <c r="G1077" s="693"/>
      <c r="H1077" s="693"/>
      <c r="I1077" s="693"/>
      <c r="J1077" s="693"/>
      <c r="K1077" s="693"/>
      <c r="L1077" s="693"/>
      <c r="M1077" s="693"/>
      <c r="N1077" s="693"/>
      <c r="O1077" s="693"/>
      <c r="P1077" s="693"/>
      <c r="Q1077" s="693"/>
    </row>
    <row r="1078" spans="1:17" ht="13.5">
      <c r="A1078" s="693"/>
      <c r="B1078" s="693"/>
      <c r="C1078" s="693"/>
      <c r="D1078" s="693"/>
      <c r="E1078" s="693"/>
      <c r="F1078" s="693"/>
      <c r="G1078" s="693"/>
      <c r="H1078" s="693"/>
      <c r="I1078" s="693"/>
      <c r="J1078" s="693"/>
      <c r="K1078" s="693"/>
      <c r="L1078" s="693"/>
      <c r="M1078" s="693"/>
      <c r="N1078" s="693"/>
      <c r="O1078" s="693"/>
      <c r="P1078" s="693"/>
      <c r="Q1078" s="693"/>
    </row>
    <row r="1079" spans="1:17" ht="13.5">
      <c r="A1079" s="693"/>
      <c r="B1079" s="693"/>
      <c r="C1079" s="693"/>
      <c r="D1079" s="693"/>
      <c r="E1079" s="693"/>
      <c r="F1079" s="693"/>
      <c r="G1079" s="693"/>
      <c r="H1079" s="693"/>
      <c r="I1079" s="693"/>
      <c r="J1079" s="693"/>
      <c r="K1079" s="693"/>
      <c r="L1079" s="693"/>
      <c r="M1079" s="693"/>
      <c r="N1079" s="693"/>
      <c r="O1079" s="693"/>
      <c r="P1079" s="693"/>
      <c r="Q1079" s="693"/>
    </row>
    <row r="1080" spans="1:17" ht="13.5">
      <c r="A1080" s="693"/>
      <c r="B1080" s="693"/>
      <c r="C1080" s="693"/>
      <c r="D1080" s="693"/>
      <c r="E1080" s="693"/>
      <c r="F1080" s="693"/>
      <c r="G1080" s="693"/>
      <c r="H1080" s="693"/>
      <c r="I1080" s="693"/>
      <c r="J1080" s="693"/>
      <c r="K1080" s="693"/>
      <c r="L1080" s="693"/>
      <c r="M1080" s="693"/>
      <c r="N1080" s="693"/>
      <c r="O1080" s="693"/>
      <c r="P1080" s="693"/>
      <c r="Q1080" s="693"/>
    </row>
    <row r="1081" spans="1:17" ht="13.5">
      <c r="A1081" s="693"/>
      <c r="B1081" s="693"/>
      <c r="C1081" s="693"/>
      <c r="D1081" s="693"/>
      <c r="E1081" s="693"/>
      <c r="F1081" s="693"/>
      <c r="G1081" s="693"/>
      <c r="H1081" s="693"/>
      <c r="I1081" s="693"/>
      <c r="J1081" s="693"/>
      <c r="K1081" s="693"/>
      <c r="L1081" s="693"/>
      <c r="M1081" s="693"/>
      <c r="N1081" s="693"/>
      <c r="O1081" s="693"/>
      <c r="P1081" s="693"/>
      <c r="Q1081" s="693"/>
    </row>
    <row r="1082" spans="1:17" ht="13.5">
      <c r="A1082" s="693"/>
      <c r="B1082" s="693"/>
      <c r="C1082" s="693"/>
      <c r="D1082" s="693"/>
      <c r="E1082" s="693"/>
      <c r="F1082" s="693"/>
      <c r="G1082" s="693"/>
      <c r="H1082" s="693"/>
      <c r="I1082" s="693"/>
      <c r="J1082" s="693"/>
      <c r="K1082" s="693"/>
      <c r="L1082" s="693"/>
      <c r="M1082" s="693"/>
      <c r="N1082" s="693"/>
      <c r="O1082" s="693"/>
      <c r="P1082" s="693"/>
      <c r="Q1082" s="693"/>
    </row>
    <row r="1083" spans="1:17" ht="13.5">
      <c r="A1083" s="693"/>
      <c r="B1083" s="693"/>
      <c r="C1083" s="693"/>
      <c r="D1083" s="693"/>
      <c r="E1083" s="693"/>
      <c r="F1083" s="693"/>
      <c r="G1083" s="693"/>
      <c r="H1083" s="693"/>
      <c r="I1083" s="693"/>
      <c r="J1083" s="693"/>
      <c r="K1083" s="693"/>
      <c r="L1083" s="693"/>
      <c r="M1083" s="693"/>
      <c r="N1083" s="693"/>
      <c r="O1083" s="693"/>
      <c r="P1083" s="693"/>
      <c r="Q1083" s="693"/>
    </row>
    <row r="1084" spans="1:17" ht="13.5">
      <c r="A1084" s="693"/>
      <c r="B1084" s="693"/>
      <c r="C1084" s="693"/>
      <c r="D1084" s="693"/>
      <c r="E1084" s="693"/>
      <c r="F1084" s="693"/>
      <c r="G1084" s="693"/>
      <c r="H1084" s="693"/>
      <c r="I1084" s="693"/>
      <c r="J1084" s="693"/>
      <c r="K1084" s="693"/>
      <c r="L1084" s="693"/>
      <c r="M1084" s="693"/>
      <c r="N1084" s="693"/>
      <c r="O1084" s="693"/>
      <c r="P1084" s="693"/>
      <c r="Q1084" s="693"/>
    </row>
    <row r="1085" spans="1:17" ht="13.5">
      <c r="A1085" s="693"/>
      <c r="B1085" s="693"/>
      <c r="C1085" s="693"/>
      <c r="D1085" s="693"/>
      <c r="E1085" s="693"/>
      <c r="F1085" s="693"/>
      <c r="G1085" s="693"/>
      <c r="H1085" s="693"/>
      <c r="I1085" s="693"/>
      <c r="J1085" s="693"/>
      <c r="K1085" s="693"/>
      <c r="L1085" s="693"/>
      <c r="M1085" s="693"/>
      <c r="N1085" s="693"/>
      <c r="O1085" s="693"/>
      <c r="P1085" s="693"/>
      <c r="Q1085" s="693"/>
    </row>
    <row r="1086" spans="1:17" ht="13.5">
      <c r="A1086" s="693"/>
      <c r="B1086" s="693"/>
      <c r="C1086" s="693"/>
      <c r="D1086" s="693"/>
      <c r="E1086" s="693"/>
      <c r="F1086" s="693"/>
      <c r="G1086" s="693"/>
      <c r="H1086" s="693"/>
      <c r="I1086" s="693"/>
      <c r="J1086" s="693"/>
      <c r="K1086" s="693"/>
      <c r="L1086" s="693"/>
      <c r="M1086" s="693"/>
      <c r="N1086" s="693"/>
      <c r="O1086" s="693"/>
      <c r="P1086" s="693"/>
      <c r="Q1086" s="693"/>
    </row>
    <row r="1087" spans="1:17" ht="13.5">
      <c r="A1087" s="693"/>
      <c r="B1087" s="693"/>
      <c r="C1087" s="693"/>
      <c r="D1087" s="693"/>
      <c r="E1087" s="693"/>
      <c r="F1087" s="693"/>
      <c r="G1087" s="693"/>
      <c r="H1087" s="693"/>
      <c r="I1087" s="693"/>
      <c r="J1087" s="693"/>
      <c r="K1087" s="693"/>
      <c r="L1087" s="693"/>
      <c r="M1087" s="693"/>
      <c r="N1087" s="693"/>
      <c r="O1087" s="693"/>
      <c r="P1087" s="693"/>
      <c r="Q1087" s="693"/>
    </row>
    <row r="1088" spans="1:17" ht="13.5">
      <c r="A1088" s="693"/>
      <c r="B1088" s="693"/>
      <c r="C1088" s="693"/>
      <c r="D1088" s="693"/>
      <c r="E1088" s="693"/>
      <c r="F1088" s="693"/>
      <c r="G1088" s="693"/>
      <c r="H1088" s="693"/>
      <c r="I1088" s="693"/>
      <c r="J1088" s="693"/>
      <c r="K1088" s="693"/>
      <c r="L1088" s="693"/>
      <c r="M1088" s="693"/>
      <c r="N1088" s="693"/>
      <c r="O1088" s="693"/>
      <c r="P1088" s="693"/>
      <c r="Q1088" s="693"/>
    </row>
    <row r="1089" spans="1:17" ht="13.5">
      <c r="A1089" s="693"/>
      <c r="B1089" s="693"/>
      <c r="C1089" s="693"/>
      <c r="D1089" s="693"/>
      <c r="E1089" s="693"/>
      <c r="F1089" s="693"/>
      <c r="G1089" s="693"/>
      <c r="H1089" s="693"/>
      <c r="I1089" s="693"/>
      <c r="J1089" s="693"/>
      <c r="K1089" s="693"/>
      <c r="L1089" s="693"/>
      <c r="M1089" s="693"/>
      <c r="N1089" s="693"/>
      <c r="O1089" s="693"/>
      <c r="P1089" s="693"/>
      <c r="Q1089" s="693"/>
    </row>
    <row r="1090" spans="1:17" ht="13.5">
      <c r="A1090" s="693"/>
      <c r="B1090" s="693"/>
      <c r="C1090" s="693"/>
      <c r="D1090" s="693"/>
      <c r="E1090" s="693"/>
      <c r="F1090" s="693"/>
      <c r="G1090" s="693"/>
      <c r="H1090" s="693"/>
      <c r="I1090" s="693"/>
      <c r="J1090" s="693"/>
      <c r="K1090" s="693"/>
      <c r="L1090" s="693"/>
      <c r="M1090" s="693"/>
      <c r="N1090" s="693"/>
      <c r="O1090" s="693"/>
      <c r="P1090" s="693"/>
      <c r="Q1090" s="693"/>
    </row>
    <row r="1091" spans="1:17" ht="13.5">
      <c r="A1091" s="693"/>
      <c r="B1091" s="693"/>
      <c r="C1091" s="693"/>
      <c r="D1091" s="693"/>
      <c r="E1091" s="693"/>
      <c r="F1091" s="693"/>
      <c r="G1091" s="693"/>
      <c r="H1091" s="693"/>
      <c r="I1091" s="693"/>
      <c r="J1091" s="693"/>
      <c r="K1091" s="693"/>
      <c r="L1091" s="693"/>
      <c r="M1091" s="693"/>
      <c r="N1091" s="693"/>
      <c r="O1091" s="693"/>
      <c r="P1091" s="693"/>
      <c r="Q1091" s="693"/>
    </row>
    <row r="1092" spans="1:17" ht="13.5">
      <c r="A1092" s="693"/>
      <c r="B1092" s="693"/>
      <c r="C1092" s="693"/>
      <c r="D1092" s="693"/>
      <c r="E1092" s="693"/>
      <c r="F1092" s="693"/>
      <c r="G1092" s="693"/>
      <c r="H1092" s="693"/>
      <c r="I1092" s="693"/>
      <c r="J1092" s="693"/>
      <c r="K1092" s="693"/>
      <c r="L1092" s="693"/>
      <c r="M1092" s="693"/>
      <c r="N1092" s="693"/>
      <c r="O1092" s="693"/>
      <c r="P1092" s="693"/>
      <c r="Q1092" s="693"/>
    </row>
    <row r="1093" spans="1:17" ht="13.5">
      <c r="A1093" s="693"/>
      <c r="B1093" s="693"/>
      <c r="C1093" s="693"/>
      <c r="D1093" s="693"/>
      <c r="E1093" s="693"/>
      <c r="F1093" s="693"/>
      <c r="G1093" s="693"/>
      <c r="H1093" s="693"/>
      <c r="I1093" s="693"/>
      <c r="J1093" s="693"/>
      <c r="K1093" s="693"/>
      <c r="L1093" s="693"/>
      <c r="M1093" s="693"/>
      <c r="N1093" s="693"/>
      <c r="O1093" s="693"/>
      <c r="P1093" s="693"/>
      <c r="Q1093" s="693"/>
    </row>
    <row r="1094" spans="1:17" ht="13.5">
      <c r="A1094" s="693"/>
      <c r="B1094" s="693"/>
      <c r="C1094" s="693"/>
      <c r="D1094" s="693"/>
      <c r="E1094" s="693"/>
      <c r="F1094" s="693"/>
      <c r="G1094" s="693"/>
      <c r="H1094" s="693"/>
      <c r="I1094" s="693"/>
      <c r="J1094" s="693"/>
      <c r="K1094" s="693"/>
      <c r="L1094" s="693"/>
      <c r="M1094" s="693"/>
      <c r="N1094" s="693"/>
      <c r="O1094" s="693"/>
      <c r="P1094" s="693"/>
      <c r="Q1094" s="693"/>
    </row>
    <row r="1095" spans="1:17" ht="13.5">
      <c r="A1095" s="693"/>
      <c r="B1095" s="693"/>
      <c r="C1095" s="693"/>
      <c r="D1095" s="693"/>
      <c r="E1095" s="693"/>
      <c r="F1095" s="693"/>
      <c r="G1095" s="693"/>
      <c r="H1095" s="693"/>
      <c r="I1095" s="693"/>
      <c r="J1095" s="693"/>
      <c r="K1095" s="693"/>
      <c r="L1095" s="693"/>
      <c r="M1095" s="693"/>
      <c r="N1095" s="693"/>
      <c r="O1095" s="693"/>
      <c r="P1095" s="693"/>
      <c r="Q1095" s="693"/>
    </row>
    <row r="1096" spans="1:17" ht="13.5">
      <c r="A1096" s="693"/>
      <c r="B1096" s="693"/>
      <c r="C1096" s="693"/>
      <c r="D1096" s="693"/>
      <c r="E1096" s="693"/>
      <c r="F1096" s="693"/>
      <c r="G1096" s="693"/>
      <c r="H1096" s="693"/>
      <c r="I1096" s="693"/>
      <c r="J1096" s="693"/>
      <c r="K1096" s="693"/>
      <c r="L1096" s="693"/>
      <c r="M1096" s="693"/>
      <c r="N1096" s="693"/>
      <c r="O1096" s="693"/>
      <c r="P1096" s="693"/>
      <c r="Q1096" s="693"/>
    </row>
    <row r="1097" spans="1:17" ht="13.5">
      <c r="A1097" s="693"/>
      <c r="B1097" s="693"/>
      <c r="C1097" s="693"/>
      <c r="D1097" s="693"/>
      <c r="E1097" s="693"/>
      <c r="F1097" s="693"/>
      <c r="G1097" s="693"/>
      <c r="H1097" s="693"/>
      <c r="I1097" s="693"/>
      <c r="J1097" s="693"/>
      <c r="K1097" s="693"/>
      <c r="L1097" s="693"/>
      <c r="M1097" s="693"/>
      <c r="N1097" s="693"/>
      <c r="O1097" s="693"/>
      <c r="P1097" s="693"/>
      <c r="Q1097" s="693"/>
    </row>
    <row r="1098" spans="1:17" ht="13.5">
      <c r="A1098" s="693"/>
      <c r="B1098" s="693"/>
      <c r="C1098" s="693"/>
      <c r="D1098" s="693"/>
      <c r="E1098" s="693"/>
      <c r="F1098" s="693"/>
      <c r="G1098" s="693"/>
      <c r="H1098" s="693"/>
      <c r="I1098" s="693"/>
      <c r="J1098" s="693"/>
      <c r="K1098" s="693"/>
      <c r="L1098" s="693"/>
      <c r="M1098" s="693"/>
      <c r="N1098" s="693"/>
      <c r="O1098" s="693"/>
      <c r="P1098" s="693"/>
      <c r="Q1098" s="693"/>
    </row>
    <row r="1099" spans="1:17" ht="13.5">
      <c r="A1099" s="693"/>
      <c r="B1099" s="693"/>
      <c r="C1099" s="693"/>
      <c r="D1099" s="693"/>
      <c r="E1099" s="693"/>
      <c r="F1099" s="693"/>
      <c r="G1099" s="693"/>
      <c r="H1099" s="693"/>
      <c r="I1099" s="693"/>
      <c r="J1099" s="693"/>
      <c r="K1099" s="693"/>
      <c r="L1099" s="693"/>
      <c r="M1099" s="693"/>
      <c r="N1099" s="693"/>
      <c r="O1099" s="693"/>
      <c r="P1099" s="693"/>
      <c r="Q1099" s="693"/>
    </row>
    <row r="1100" spans="1:17" ht="13.5">
      <c r="A1100" s="693"/>
      <c r="B1100" s="693"/>
      <c r="C1100" s="693"/>
      <c r="D1100" s="693"/>
      <c r="E1100" s="693"/>
      <c r="F1100" s="693"/>
      <c r="G1100" s="693"/>
      <c r="H1100" s="693"/>
      <c r="I1100" s="693"/>
      <c r="J1100" s="693"/>
      <c r="K1100" s="693"/>
      <c r="L1100" s="693"/>
      <c r="M1100" s="693"/>
      <c r="N1100" s="693"/>
      <c r="O1100" s="693"/>
      <c r="P1100" s="693"/>
      <c r="Q1100" s="693"/>
    </row>
    <row r="1101" spans="1:17" ht="13.5">
      <c r="A1101" s="693"/>
      <c r="B1101" s="693"/>
      <c r="C1101" s="693"/>
      <c r="D1101" s="693"/>
      <c r="E1101" s="693"/>
      <c r="F1101" s="693"/>
      <c r="G1101" s="693"/>
      <c r="H1101" s="693"/>
      <c r="I1101" s="693"/>
      <c r="J1101" s="693"/>
      <c r="K1101" s="693"/>
      <c r="L1101" s="693"/>
      <c r="M1101" s="693"/>
      <c r="N1101" s="693"/>
      <c r="O1101" s="693"/>
      <c r="P1101" s="693"/>
      <c r="Q1101" s="693"/>
    </row>
    <row r="1102" spans="1:17" ht="13.5">
      <c r="A1102" s="693"/>
      <c r="B1102" s="693"/>
      <c r="C1102" s="693"/>
      <c r="D1102" s="693"/>
      <c r="E1102" s="693"/>
      <c r="F1102" s="693"/>
      <c r="G1102" s="693"/>
      <c r="H1102" s="693"/>
      <c r="I1102" s="693"/>
      <c r="J1102" s="693"/>
      <c r="K1102" s="693"/>
      <c r="L1102" s="693"/>
      <c r="M1102" s="693"/>
      <c r="N1102" s="693"/>
      <c r="O1102" s="693"/>
      <c r="P1102" s="693"/>
      <c r="Q1102" s="693"/>
    </row>
    <row r="1103" spans="1:17" ht="13.5">
      <c r="A1103" s="693"/>
      <c r="B1103" s="693"/>
      <c r="C1103" s="693"/>
      <c r="D1103" s="693"/>
      <c r="E1103" s="693"/>
      <c r="F1103" s="693"/>
      <c r="G1103" s="693"/>
      <c r="H1103" s="693"/>
      <c r="I1103" s="693"/>
      <c r="J1103" s="693"/>
      <c r="K1103" s="693"/>
      <c r="L1103" s="693"/>
      <c r="M1103" s="693"/>
      <c r="N1103" s="693"/>
      <c r="O1103" s="693"/>
      <c r="P1103" s="693"/>
      <c r="Q1103" s="693"/>
    </row>
    <row r="1104" spans="1:17" ht="13.5">
      <c r="A1104" s="693"/>
      <c r="B1104" s="693"/>
      <c r="C1104" s="693"/>
      <c r="D1104" s="693"/>
      <c r="E1104" s="693"/>
      <c r="F1104" s="693"/>
      <c r="G1104" s="693"/>
      <c r="H1104" s="693"/>
      <c r="I1104" s="693"/>
      <c r="J1104" s="693"/>
      <c r="K1104" s="693"/>
      <c r="L1104" s="693"/>
      <c r="M1104" s="693"/>
      <c r="N1104" s="693"/>
      <c r="O1104" s="693"/>
      <c r="P1104" s="693"/>
      <c r="Q1104" s="693"/>
    </row>
    <row r="1105" spans="1:17" ht="13.5">
      <c r="A1105" s="693"/>
      <c r="B1105" s="693"/>
      <c r="C1105" s="693"/>
      <c r="D1105" s="693"/>
      <c r="E1105" s="693"/>
      <c r="F1105" s="693"/>
      <c r="G1105" s="693"/>
      <c r="H1105" s="693"/>
      <c r="I1105" s="693"/>
      <c r="J1105" s="693"/>
      <c r="K1105" s="693"/>
      <c r="L1105" s="693"/>
      <c r="M1105" s="693"/>
      <c r="N1105" s="693"/>
      <c r="O1105" s="693"/>
      <c r="P1105" s="693"/>
      <c r="Q1105" s="693"/>
    </row>
    <row r="1106" spans="1:17" ht="13.5">
      <c r="A1106" s="693"/>
      <c r="B1106" s="693"/>
      <c r="C1106" s="693"/>
      <c r="D1106" s="693"/>
      <c r="E1106" s="693"/>
      <c r="F1106" s="693"/>
      <c r="G1106" s="693"/>
      <c r="H1106" s="693"/>
      <c r="I1106" s="693"/>
      <c r="J1106" s="693"/>
      <c r="K1106" s="693"/>
      <c r="L1106" s="693"/>
      <c r="M1106" s="693"/>
      <c r="N1106" s="693"/>
      <c r="O1106" s="693"/>
      <c r="P1106" s="693"/>
      <c r="Q1106" s="693"/>
    </row>
    <row r="1107" spans="1:17" ht="13.5">
      <c r="A1107" s="693"/>
      <c r="B1107" s="693"/>
      <c r="C1107" s="693"/>
      <c r="D1107" s="693"/>
      <c r="E1107" s="693"/>
      <c r="F1107" s="693"/>
      <c r="G1107" s="693"/>
      <c r="H1107" s="693"/>
      <c r="I1107" s="693"/>
      <c r="J1107" s="693"/>
      <c r="K1107" s="693"/>
      <c r="L1107" s="693"/>
      <c r="M1107" s="693"/>
      <c r="N1107" s="693"/>
      <c r="O1107" s="693"/>
      <c r="P1107" s="693"/>
      <c r="Q1107" s="693"/>
    </row>
    <row r="1108" spans="1:17" ht="13.5">
      <c r="A1108" s="693"/>
      <c r="B1108" s="693"/>
      <c r="C1108" s="693"/>
      <c r="D1108" s="693"/>
      <c r="E1108" s="693"/>
      <c r="F1108" s="693"/>
      <c r="G1108" s="693"/>
      <c r="H1108" s="693"/>
      <c r="I1108" s="693"/>
      <c r="J1108" s="693"/>
      <c r="K1108" s="693"/>
      <c r="L1108" s="693"/>
      <c r="M1108" s="693"/>
      <c r="N1108" s="693"/>
      <c r="O1108" s="693"/>
      <c r="P1108" s="693"/>
      <c r="Q1108" s="693"/>
    </row>
    <row r="1109" spans="1:17" ht="13.5">
      <c r="A1109" s="693"/>
      <c r="B1109" s="693"/>
      <c r="C1109" s="693"/>
      <c r="D1109" s="693"/>
      <c r="E1109" s="693"/>
      <c r="F1109" s="693"/>
      <c r="G1109" s="693"/>
      <c r="H1109" s="693"/>
      <c r="I1109" s="693"/>
      <c r="J1109" s="693"/>
      <c r="K1109" s="693"/>
      <c r="L1109" s="693"/>
      <c r="M1109" s="693"/>
      <c r="N1109" s="693"/>
      <c r="O1109" s="693"/>
      <c r="P1109" s="693"/>
      <c r="Q1109" s="693"/>
    </row>
    <row r="1110" spans="1:17" ht="13.5">
      <c r="A1110" s="693"/>
      <c r="B1110" s="693"/>
      <c r="C1110" s="693"/>
      <c r="D1110" s="693"/>
      <c r="E1110" s="693"/>
      <c r="F1110" s="693"/>
      <c r="G1110" s="693"/>
      <c r="H1110" s="693"/>
      <c r="I1110" s="693"/>
      <c r="J1110" s="693"/>
      <c r="K1110" s="693"/>
      <c r="L1110" s="693"/>
      <c r="M1110" s="693"/>
      <c r="N1110" s="693"/>
      <c r="O1110" s="693"/>
      <c r="P1110" s="693"/>
      <c r="Q1110" s="693"/>
    </row>
    <row r="1111" spans="1:17" ht="13.5">
      <c r="A1111" s="693"/>
      <c r="B1111" s="693"/>
      <c r="C1111" s="693"/>
      <c r="D1111" s="693"/>
      <c r="E1111" s="693"/>
      <c r="F1111" s="693"/>
      <c r="G1111" s="693"/>
      <c r="H1111" s="693"/>
      <c r="I1111" s="693"/>
      <c r="J1111" s="693"/>
      <c r="K1111" s="693"/>
      <c r="L1111" s="693"/>
      <c r="M1111" s="693"/>
      <c r="N1111" s="693"/>
      <c r="O1111" s="693"/>
      <c r="P1111" s="693"/>
      <c r="Q1111" s="693"/>
    </row>
    <row r="1112" spans="1:17" ht="13.5">
      <c r="A1112" s="693"/>
      <c r="B1112" s="693"/>
      <c r="C1112" s="693"/>
      <c r="D1112" s="693"/>
      <c r="E1112" s="693"/>
      <c r="F1112" s="693"/>
      <c r="G1112" s="693"/>
      <c r="H1112" s="693"/>
      <c r="I1112" s="693"/>
      <c r="J1112" s="693"/>
      <c r="K1112" s="693"/>
      <c r="L1112" s="693"/>
      <c r="M1112" s="693"/>
      <c r="N1112" s="693"/>
      <c r="O1112" s="693"/>
      <c r="P1112" s="693"/>
      <c r="Q1112" s="693"/>
    </row>
    <row r="1113" spans="1:17" ht="13.5">
      <c r="A1113" s="693"/>
      <c r="B1113" s="693"/>
      <c r="C1113" s="693"/>
      <c r="D1113" s="693"/>
      <c r="E1113" s="693"/>
      <c r="F1113" s="693"/>
      <c r="G1113" s="693"/>
      <c r="H1113" s="693"/>
      <c r="I1113" s="693"/>
      <c r="J1113" s="693"/>
      <c r="K1113" s="693"/>
      <c r="L1113" s="693"/>
      <c r="M1113" s="693"/>
      <c r="N1113" s="693"/>
      <c r="O1113" s="693"/>
      <c r="P1113" s="693"/>
      <c r="Q1113" s="693"/>
    </row>
    <row r="1114" spans="1:17" ht="13.5">
      <c r="A1114" s="693"/>
      <c r="B1114" s="693"/>
      <c r="C1114" s="693"/>
      <c r="D1114" s="693"/>
      <c r="E1114" s="693"/>
      <c r="F1114" s="693"/>
      <c r="G1114" s="693"/>
      <c r="H1114" s="693"/>
      <c r="I1114" s="693"/>
      <c r="J1114" s="693"/>
      <c r="K1114" s="693"/>
      <c r="L1114" s="693"/>
      <c r="M1114" s="693"/>
      <c r="N1114" s="693"/>
      <c r="O1114" s="693"/>
      <c r="P1114" s="693"/>
      <c r="Q1114" s="693"/>
    </row>
    <row r="1115" spans="1:17" ht="13.5">
      <c r="A1115" s="693"/>
      <c r="B1115" s="693"/>
      <c r="C1115" s="693"/>
      <c r="D1115" s="693"/>
      <c r="E1115" s="693"/>
      <c r="F1115" s="693"/>
      <c r="G1115" s="693"/>
      <c r="H1115" s="693"/>
      <c r="I1115" s="693"/>
      <c r="J1115" s="693"/>
      <c r="K1115" s="693"/>
      <c r="L1115" s="693"/>
      <c r="M1115" s="693"/>
      <c r="N1115" s="693"/>
      <c r="O1115" s="693"/>
      <c r="P1115" s="693"/>
      <c r="Q1115" s="693"/>
    </row>
    <row r="1116" spans="1:17" ht="13.5">
      <c r="A1116" s="693"/>
      <c r="B1116" s="693"/>
      <c r="C1116" s="693"/>
      <c r="D1116" s="693"/>
      <c r="E1116" s="693"/>
      <c r="F1116" s="693"/>
      <c r="G1116" s="693"/>
      <c r="H1116" s="693"/>
      <c r="I1116" s="693"/>
      <c r="J1116" s="693"/>
      <c r="K1116" s="693"/>
      <c r="L1116" s="693"/>
      <c r="M1116" s="693"/>
      <c r="N1116" s="693"/>
      <c r="O1116" s="693"/>
      <c r="P1116" s="693"/>
      <c r="Q1116" s="693"/>
    </row>
    <row r="1117" spans="1:17" ht="13.5">
      <c r="A1117" s="693"/>
      <c r="B1117" s="693"/>
      <c r="C1117" s="693"/>
      <c r="D1117" s="693"/>
      <c r="E1117" s="693"/>
      <c r="F1117" s="693"/>
      <c r="G1117" s="693"/>
      <c r="H1117" s="693"/>
      <c r="I1117" s="693"/>
      <c r="J1117" s="693"/>
      <c r="K1117" s="693"/>
      <c r="L1117" s="693"/>
      <c r="M1117" s="693"/>
      <c r="N1117" s="693"/>
      <c r="O1117" s="693"/>
      <c r="P1117" s="693"/>
      <c r="Q1117" s="693"/>
    </row>
    <row r="1118" spans="1:17" ht="13.5">
      <c r="A1118" s="693"/>
      <c r="B1118" s="693"/>
      <c r="C1118" s="693"/>
      <c r="D1118" s="693"/>
      <c r="E1118" s="693"/>
      <c r="F1118" s="693"/>
      <c r="G1118" s="693"/>
      <c r="H1118" s="693"/>
      <c r="I1118" s="693"/>
      <c r="J1118" s="693"/>
      <c r="K1118" s="693"/>
      <c r="L1118" s="693"/>
      <c r="M1118" s="693"/>
      <c r="N1118" s="693"/>
      <c r="O1118" s="693"/>
      <c r="P1118" s="693"/>
      <c r="Q1118" s="693"/>
    </row>
    <row r="1119" spans="1:17" ht="13.5">
      <c r="A1119" s="693"/>
      <c r="B1119" s="693"/>
      <c r="C1119" s="693"/>
      <c r="D1119" s="693"/>
      <c r="E1119" s="693"/>
      <c r="F1119" s="693"/>
      <c r="G1119" s="693"/>
      <c r="H1119" s="693"/>
      <c r="I1119" s="693"/>
      <c r="J1119" s="693"/>
      <c r="K1119" s="693"/>
      <c r="L1119" s="693"/>
      <c r="M1119" s="693"/>
      <c r="N1119" s="693"/>
      <c r="O1119" s="693"/>
      <c r="P1119" s="693"/>
      <c r="Q1119" s="693"/>
    </row>
    <row r="1120" spans="1:17" ht="13.5">
      <c r="A1120" s="693"/>
      <c r="B1120" s="693"/>
      <c r="C1120" s="693"/>
      <c r="D1120" s="693"/>
      <c r="E1120" s="693"/>
      <c r="F1120" s="693"/>
      <c r="G1120" s="693"/>
      <c r="H1120" s="693"/>
      <c r="I1120" s="693"/>
      <c r="J1120" s="693"/>
      <c r="K1120" s="693"/>
      <c r="L1120" s="693"/>
      <c r="M1120" s="693"/>
      <c r="N1120" s="693"/>
      <c r="O1120" s="693"/>
      <c r="P1120" s="693"/>
      <c r="Q1120" s="693"/>
    </row>
    <row r="1121" spans="1:17" ht="13.5">
      <c r="A1121" s="693"/>
      <c r="B1121" s="693"/>
      <c r="C1121" s="693"/>
      <c r="D1121" s="693"/>
      <c r="E1121" s="693"/>
      <c r="F1121" s="693"/>
      <c r="G1121" s="693"/>
      <c r="H1121" s="693"/>
      <c r="I1121" s="693"/>
      <c r="J1121" s="693"/>
      <c r="K1121" s="693"/>
      <c r="L1121" s="693"/>
      <c r="M1121" s="693"/>
      <c r="N1121" s="693"/>
      <c r="O1121" s="693"/>
      <c r="P1121" s="693"/>
      <c r="Q1121" s="693"/>
    </row>
    <row r="1122" spans="1:17" ht="13.5">
      <c r="A1122" s="693"/>
      <c r="B1122" s="693"/>
      <c r="C1122" s="693"/>
      <c r="D1122" s="693"/>
      <c r="E1122" s="693"/>
      <c r="F1122" s="693"/>
      <c r="G1122" s="693"/>
      <c r="H1122" s="693"/>
      <c r="I1122" s="693"/>
      <c r="J1122" s="693"/>
      <c r="K1122" s="693"/>
      <c r="L1122" s="693"/>
      <c r="M1122" s="693"/>
      <c r="N1122" s="693"/>
      <c r="O1122" s="693"/>
      <c r="P1122" s="693"/>
      <c r="Q1122" s="693"/>
    </row>
    <row r="1123" spans="1:17" ht="13.5">
      <c r="A1123" s="693"/>
      <c r="B1123" s="693"/>
      <c r="C1123" s="693"/>
      <c r="D1123" s="693"/>
      <c r="E1123" s="693"/>
      <c r="F1123" s="693"/>
      <c r="G1123" s="693"/>
      <c r="H1123" s="693"/>
      <c r="I1123" s="693"/>
      <c r="J1123" s="693"/>
      <c r="K1123" s="693"/>
      <c r="L1123" s="693"/>
      <c r="M1123" s="693"/>
      <c r="N1123" s="693"/>
      <c r="O1123" s="693"/>
      <c r="P1123" s="693"/>
      <c r="Q1123" s="693"/>
    </row>
    <row r="1124" spans="1:17" ht="13.5">
      <c r="A1124" s="693"/>
      <c r="B1124" s="693"/>
      <c r="C1124" s="693"/>
      <c r="D1124" s="693"/>
      <c r="E1124" s="693"/>
      <c r="F1124" s="693"/>
      <c r="G1124" s="693"/>
      <c r="H1124" s="693"/>
      <c r="I1124" s="693"/>
      <c r="J1124" s="693"/>
      <c r="K1124" s="693"/>
      <c r="L1124" s="693"/>
      <c r="M1124" s="693"/>
      <c r="N1124" s="693"/>
      <c r="O1124" s="693"/>
      <c r="P1124" s="693"/>
      <c r="Q1124" s="693"/>
    </row>
    <row r="1125" spans="1:17" ht="13.5">
      <c r="A1125" s="693"/>
      <c r="B1125" s="693"/>
      <c r="C1125" s="693"/>
      <c r="D1125" s="693"/>
      <c r="E1125" s="693"/>
      <c r="F1125" s="693"/>
      <c r="G1125" s="693"/>
      <c r="H1125" s="693"/>
      <c r="I1125" s="693"/>
      <c r="J1125" s="693"/>
      <c r="K1125" s="693"/>
      <c r="L1125" s="693"/>
      <c r="M1125" s="693"/>
      <c r="N1125" s="693"/>
      <c r="O1125" s="693"/>
      <c r="P1125" s="693"/>
      <c r="Q1125" s="693"/>
    </row>
    <row r="1126" spans="1:17" ht="13.5">
      <c r="A1126" s="693"/>
      <c r="B1126" s="693"/>
      <c r="C1126" s="693"/>
      <c r="D1126" s="693"/>
      <c r="E1126" s="693"/>
      <c r="F1126" s="693"/>
      <c r="G1126" s="693"/>
      <c r="H1126" s="693"/>
      <c r="I1126" s="693"/>
      <c r="J1126" s="693"/>
      <c r="K1126" s="693"/>
      <c r="L1126" s="693"/>
      <c r="M1126" s="693"/>
      <c r="N1126" s="693"/>
      <c r="O1126" s="693"/>
      <c r="P1126" s="693"/>
      <c r="Q1126" s="693"/>
    </row>
    <row r="1127" spans="1:17" ht="13.5">
      <c r="A1127" s="693"/>
      <c r="B1127" s="693"/>
      <c r="C1127" s="693"/>
      <c r="D1127" s="693"/>
      <c r="E1127" s="693"/>
      <c r="F1127" s="693"/>
      <c r="G1127" s="693"/>
      <c r="H1127" s="693"/>
      <c r="I1127" s="693"/>
      <c r="J1127" s="693"/>
      <c r="K1127" s="693"/>
      <c r="L1127" s="693"/>
      <c r="M1127" s="693"/>
      <c r="N1127" s="693"/>
      <c r="O1127" s="693"/>
      <c r="P1127" s="693"/>
      <c r="Q1127" s="693"/>
    </row>
    <row r="1128" spans="1:17" ht="13.5">
      <c r="A1128" s="693"/>
      <c r="B1128" s="693"/>
      <c r="C1128" s="693"/>
      <c r="D1128" s="693"/>
      <c r="E1128" s="693"/>
      <c r="F1128" s="693"/>
      <c r="G1128" s="693"/>
      <c r="H1128" s="693"/>
      <c r="I1128" s="693"/>
      <c r="J1128" s="693"/>
      <c r="K1128" s="693"/>
      <c r="L1128" s="693"/>
      <c r="M1128" s="693"/>
      <c r="N1128" s="693"/>
      <c r="O1128" s="693"/>
      <c r="P1128" s="693"/>
      <c r="Q1128" s="693"/>
    </row>
    <row r="1129" spans="1:17" ht="13.5">
      <c r="A1129" s="693"/>
      <c r="B1129" s="693"/>
      <c r="C1129" s="693"/>
      <c r="D1129" s="693"/>
      <c r="E1129" s="693"/>
      <c r="F1129" s="693"/>
      <c r="G1129" s="693"/>
      <c r="H1129" s="693"/>
      <c r="I1129" s="693"/>
      <c r="J1129" s="693"/>
      <c r="K1129" s="693"/>
      <c r="L1129" s="693"/>
      <c r="M1129" s="693"/>
      <c r="N1129" s="693"/>
      <c r="O1129" s="693"/>
      <c r="P1129" s="693"/>
      <c r="Q1129" s="693"/>
    </row>
    <row r="1130" spans="1:17" ht="13.5">
      <c r="A1130" s="693"/>
      <c r="B1130" s="693"/>
      <c r="C1130" s="693"/>
      <c r="D1130" s="693"/>
      <c r="E1130" s="693"/>
      <c r="F1130" s="693"/>
      <c r="G1130" s="693"/>
      <c r="H1130" s="693"/>
      <c r="I1130" s="693"/>
      <c r="J1130" s="693"/>
      <c r="K1130" s="693"/>
      <c r="L1130" s="693"/>
      <c r="M1130" s="693"/>
      <c r="N1130" s="693"/>
      <c r="O1130" s="693"/>
      <c r="P1130" s="693"/>
      <c r="Q1130" s="693"/>
    </row>
    <row r="1131" spans="1:17" ht="13.5">
      <c r="A1131" s="693"/>
      <c r="B1131" s="693"/>
      <c r="C1131" s="693"/>
      <c r="D1131" s="693"/>
      <c r="E1131" s="693"/>
      <c r="F1131" s="693"/>
      <c r="G1131" s="693"/>
      <c r="H1131" s="693"/>
      <c r="I1131" s="693"/>
      <c r="J1131" s="693"/>
      <c r="K1131" s="693"/>
      <c r="L1131" s="693"/>
      <c r="M1131" s="693"/>
      <c r="N1131" s="693"/>
      <c r="O1131" s="693"/>
      <c r="P1131" s="693"/>
      <c r="Q1131" s="693"/>
    </row>
    <row r="1132" spans="1:17" ht="13.5">
      <c r="A1132" s="693"/>
      <c r="B1132" s="693"/>
      <c r="C1132" s="693"/>
      <c r="D1132" s="693"/>
      <c r="E1132" s="693"/>
      <c r="F1132" s="693"/>
      <c r="G1132" s="693"/>
      <c r="H1132" s="693"/>
      <c r="I1132" s="693"/>
      <c r="J1132" s="693"/>
      <c r="K1132" s="693"/>
      <c r="L1132" s="693"/>
      <c r="M1132" s="693"/>
      <c r="N1132" s="693"/>
      <c r="O1132" s="693"/>
      <c r="P1132" s="693"/>
      <c r="Q1132" s="693"/>
    </row>
    <row r="1133" spans="1:17" ht="13.5">
      <c r="A1133" s="693"/>
      <c r="B1133" s="693"/>
      <c r="C1133" s="693"/>
      <c r="D1133" s="693"/>
      <c r="E1133" s="693"/>
      <c r="F1133" s="693"/>
      <c r="G1133" s="693"/>
      <c r="H1133" s="693"/>
      <c r="I1133" s="693"/>
      <c r="J1133" s="693"/>
      <c r="K1133" s="693"/>
      <c r="L1133" s="693"/>
      <c r="M1133" s="693"/>
      <c r="N1133" s="693"/>
      <c r="O1133" s="693"/>
      <c r="P1133" s="693"/>
      <c r="Q1133" s="693"/>
    </row>
    <row r="1134" spans="1:17" ht="13.5">
      <c r="A1134" s="693"/>
      <c r="B1134" s="693"/>
      <c r="C1134" s="693"/>
      <c r="D1134" s="693"/>
      <c r="E1134" s="693"/>
      <c r="F1134" s="693"/>
      <c r="G1134" s="693"/>
      <c r="H1134" s="693"/>
      <c r="I1134" s="693"/>
      <c r="J1134" s="693"/>
      <c r="K1134" s="693"/>
      <c r="L1134" s="693"/>
      <c r="M1134" s="693"/>
      <c r="N1134" s="693"/>
      <c r="O1134" s="693"/>
      <c r="P1134" s="693"/>
      <c r="Q1134" s="693"/>
    </row>
    <row r="1135" spans="1:17" ht="13.5">
      <c r="A1135" s="693"/>
      <c r="B1135" s="693"/>
      <c r="C1135" s="693"/>
      <c r="D1135" s="693"/>
      <c r="E1135" s="693"/>
      <c r="F1135" s="693"/>
      <c r="G1135" s="693"/>
      <c r="H1135" s="693"/>
      <c r="I1135" s="693"/>
      <c r="J1135" s="693"/>
      <c r="K1135" s="693"/>
      <c r="L1135" s="693"/>
      <c r="M1135" s="693"/>
      <c r="N1135" s="693"/>
      <c r="O1135" s="693"/>
      <c r="P1135" s="693"/>
      <c r="Q1135" s="693"/>
    </row>
    <row r="1136" spans="1:17" ht="13.5">
      <c r="A1136" s="693"/>
      <c r="B1136" s="693"/>
      <c r="C1136" s="693"/>
      <c r="D1136" s="693"/>
      <c r="E1136" s="693"/>
      <c r="F1136" s="693"/>
      <c r="G1136" s="693"/>
      <c r="H1136" s="693"/>
      <c r="I1136" s="693"/>
      <c r="J1136" s="693"/>
      <c r="K1136" s="693"/>
      <c r="L1136" s="693"/>
      <c r="M1136" s="693"/>
      <c r="N1136" s="693"/>
      <c r="O1136" s="693"/>
      <c r="P1136" s="693"/>
      <c r="Q1136" s="693"/>
    </row>
    <row r="1137" spans="1:17" ht="13.5">
      <c r="A1137" s="693"/>
      <c r="B1137" s="693"/>
      <c r="C1137" s="693"/>
      <c r="D1137" s="693"/>
      <c r="E1137" s="693"/>
      <c r="F1137" s="693"/>
      <c r="G1137" s="693"/>
      <c r="H1137" s="693"/>
      <c r="I1137" s="693"/>
      <c r="J1137" s="693"/>
      <c r="K1137" s="693"/>
      <c r="L1137" s="693"/>
      <c r="M1137" s="693"/>
      <c r="N1137" s="693"/>
      <c r="O1137" s="693"/>
      <c r="P1137" s="693"/>
      <c r="Q1137" s="693"/>
    </row>
    <row r="1138" spans="1:17" ht="13.5">
      <c r="A1138" s="693"/>
      <c r="B1138" s="693"/>
      <c r="C1138" s="693"/>
      <c r="D1138" s="693"/>
      <c r="E1138" s="693"/>
      <c r="F1138" s="693"/>
      <c r="G1138" s="693"/>
      <c r="H1138" s="693"/>
      <c r="I1138" s="693"/>
      <c r="J1138" s="693"/>
      <c r="K1138" s="693"/>
      <c r="L1138" s="693"/>
      <c r="M1138" s="693"/>
      <c r="N1138" s="693"/>
      <c r="O1138" s="693"/>
      <c r="P1138" s="693"/>
      <c r="Q1138" s="693"/>
    </row>
    <row r="1139" spans="1:17" ht="13.5">
      <c r="A1139" s="693"/>
      <c r="B1139" s="693"/>
      <c r="C1139" s="693"/>
      <c r="D1139" s="693"/>
      <c r="E1139" s="693"/>
      <c r="F1139" s="693"/>
      <c r="G1139" s="693"/>
      <c r="H1139" s="693"/>
      <c r="I1139" s="693"/>
      <c r="J1139" s="693"/>
      <c r="K1139" s="693"/>
      <c r="L1139" s="693"/>
      <c r="M1139" s="693"/>
      <c r="N1139" s="693"/>
      <c r="O1139" s="693"/>
      <c r="P1139" s="693"/>
      <c r="Q1139" s="693"/>
    </row>
    <row r="1140" spans="1:17" ht="13.5">
      <c r="A1140" s="693"/>
      <c r="B1140" s="693"/>
      <c r="C1140" s="693"/>
      <c r="D1140" s="693"/>
      <c r="E1140" s="693"/>
      <c r="F1140" s="693"/>
      <c r="G1140" s="693"/>
      <c r="H1140" s="693"/>
      <c r="I1140" s="693"/>
      <c r="J1140" s="693"/>
      <c r="K1140" s="693"/>
      <c r="L1140" s="693"/>
      <c r="M1140" s="693"/>
      <c r="N1140" s="693"/>
      <c r="O1140" s="693"/>
      <c r="P1140" s="693"/>
      <c r="Q1140" s="693"/>
    </row>
    <row r="1141" spans="1:17" ht="13.5">
      <c r="A1141" s="693"/>
      <c r="B1141" s="693"/>
      <c r="C1141" s="693"/>
      <c r="D1141" s="693"/>
      <c r="E1141" s="693"/>
      <c r="F1141" s="693"/>
      <c r="G1141" s="693"/>
      <c r="H1141" s="693"/>
      <c r="I1141" s="693"/>
      <c r="J1141" s="693"/>
      <c r="K1141" s="693"/>
      <c r="L1141" s="693"/>
      <c r="M1141" s="693"/>
      <c r="N1141" s="693"/>
      <c r="O1141" s="693"/>
      <c r="P1141" s="693"/>
      <c r="Q1141" s="693"/>
    </row>
    <row r="1142" spans="1:17" ht="13.5">
      <c r="A1142" s="693"/>
      <c r="B1142" s="693"/>
      <c r="C1142" s="693"/>
      <c r="D1142" s="693"/>
      <c r="E1142" s="693"/>
      <c r="F1142" s="693"/>
      <c r="G1142" s="693"/>
      <c r="H1142" s="693"/>
      <c r="I1142" s="693"/>
      <c r="J1142" s="693"/>
      <c r="K1142" s="693"/>
      <c r="L1142" s="693"/>
      <c r="M1142" s="693"/>
      <c r="N1142" s="693"/>
      <c r="O1142" s="693"/>
      <c r="P1142" s="693"/>
      <c r="Q1142" s="693"/>
    </row>
    <row r="1143" spans="1:17" ht="13.5">
      <c r="A1143" s="693"/>
      <c r="B1143" s="693"/>
      <c r="C1143" s="693"/>
      <c r="D1143" s="693"/>
      <c r="E1143" s="693"/>
      <c r="F1143" s="693"/>
      <c r="G1143" s="693"/>
      <c r="H1143" s="693"/>
      <c r="I1143" s="693"/>
      <c r="J1143" s="693"/>
      <c r="K1143" s="693"/>
      <c r="L1143" s="693"/>
      <c r="M1143" s="693"/>
      <c r="N1143" s="693"/>
      <c r="O1143" s="693"/>
      <c r="P1143" s="693"/>
      <c r="Q1143" s="693"/>
    </row>
    <row r="1144" spans="1:17" ht="13.5">
      <c r="A1144" s="693"/>
      <c r="B1144" s="693"/>
      <c r="C1144" s="693"/>
      <c r="D1144" s="693"/>
      <c r="E1144" s="693"/>
      <c r="F1144" s="693"/>
      <c r="G1144" s="693"/>
      <c r="H1144" s="693"/>
      <c r="I1144" s="693"/>
      <c r="J1144" s="693"/>
      <c r="K1144" s="693"/>
      <c r="L1144" s="693"/>
      <c r="M1144" s="693"/>
      <c r="N1144" s="693"/>
      <c r="O1144" s="693"/>
      <c r="P1144" s="693"/>
      <c r="Q1144" s="693"/>
    </row>
    <row r="1145" spans="1:17" ht="13.5">
      <c r="A1145" s="693"/>
      <c r="B1145" s="693"/>
      <c r="C1145" s="693"/>
      <c r="D1145" s="693"/>
      <c r="E1145" s="693"/>
      <c r="F1145" s="693"/>
      <c r="G1145" s="693"/>
      <c r="H1145" s="693"/>
      <c r="I1145" s="693"/>
      <c r="J1145" s="693"/>
      <c r="K1145" s="693"/>
      <c r="L1145" s="693"/>
      <c r="M1145" s="693"/>
      <c r="N1145" s="693"/>
      <c r="O1145" s="693"/>
      <c r="P1145" s="693"/>
      <c r="Q1145" s="693"/>
    </row>
    <row r="1146" spans="1:17" ht="13.5">
      <c r="A1146" s="693"/>
      <c r="B1146" s="693"/>
      <c r="C1146" s="693"/>
      <c r="D1146" s="693"/>
      <c r="E1146" s="693"/>
      <c r="F1146" s="693"/>
      <c r="G1146" s="693"/>
      <c r="H1146" s="693"/>
      <c r="I1146" s="693"/>
      <c r="J1146" s="693"/>
      <c r="K1146" s="693"/>
      <c r="L1146" s="693"/>
      <c r="M1146" s="693"/>
      <c r="N1146" s="693"/>
      <c r="O1146" s="693"/>
      <c r="P1146" s="693"/>
      <c r="Q1146" s="693"/>
    </row>
    <row r="1147" spans="1:17" ht="13.5">
      <c r="A1147" s="693"/>
      <c r="B1147" s="693"/>
      <c r="C1147" s="693"/>
      <c r="D1147" s="693"/>
      <c r="E1147" s="693"/>
      <c r="F1147" s="693"/>
      <c r="G1147" s="693"/>
      <c r="H1147" s="693"/>
      <c r="I1147" s="693"/>
      <c r="J1147" s="693"/>
      <c r="K1147" s="693"/>
      <c r="L1147" s="693"/>
      <c r="M1147" s="693"/>
      <c r="N1147" s="693"/>
      <c r="O1147" s="693"/>
      <c r="P1147" s="693"/>
      <c r="Q1147" s="693"/>
    </row>
    <row r="1148" spans="1:17" ht="13.5">
      <c r="A1148" s="693"/>
      <c r="B1148" s="693"/>
      <c r="C1148" s="693"/>
      <c r="D1148" s="693"/>
      <c r="E1148" s="693"/>
      <c r="F1148" s="693"/>
      <c r="G1148" s="693"/>
      <c r="H1148" s="693"/>
      <c r="I1148" s="693"/>
      <c r="J1148" s="693"/>
      <c r="K1148" s="693"/>
      <c r="L1148" s="693"/>
      <c r="M1148" s="693"/>
      <c r="N1148" s="693"/>
      <c r="O1148" s="693"/>
      <c r="P1148" s="693"/>
      <c r="Q1148" s="693"/>
    </row>
    <row r="1149" spans="1:17" ht="13.5">
      <c r="A1149" s="693"/>
      <c r="B1149" s="693"/>
      <c r="C1149" s="693"/>
      <c r="D1149" s="693"/>
      <c r="E1149" s="693"/>
      <c r="F1149" s="693"/>
      <c r="G1149" s="693"/>
      <c r="H1149" s="693"/>
      <c r="I1149" s="693"/>
      <c r="J1149" s="693"/>
      <c r="K1149" s="693"/>
      <c r="L1149" s="693"/>
      <c r="M1149" s="693"/>
      <c r="N1149" s="693"/>
      <c r="O1149" s="693"/>
      <c r="P1149" s="693"/>
      <c r="Q1149" s="693"/>
    </row>
    <row r="1150" spans="1:17" ht="13.5">
      <c r="A1150" s="693"/>
      <c r="B1150" s="693"/>
      <c r="C1150" s="693"/>
      <c r="D1150" s="693"/>
      <c r="E1150" s="693"/>
      <c r="F1150" s="693"/>
      <c r="G1150" s="693"/>
      <c r="H1150" s="693"/>
      <c r="I1150" s="693"/>
      <c r="J1150" s="693"/>
      <c r="K1150" s="693"/>
      <c r="L1150" s="693"/>
      <c r="M1150" s="693"/>
      <c r="N1150" s="693"/>
      <c r="O1150" s="693"/>
      <c r="P1150" s="693"/>
      <c r="Q1150" s="693"/>
    </row>
    <row r="1151" spans="1:17" ht="13.5">
      <c r="A1151" s="693"/>
      <c r="B1151" s="693"/>
      <c r="C1151" s="693"/>
      <c r="D1151" s="693"/>
      <c r="E1151" s="693"/>
      <c r="F1151" s="693"/>
      <c r="G1151" s="693"/>
      <c r="H1151" s="693"/>
      <c r="I1151" s="693"/>
      <c r="J1151" s="693"/>
      <c r="K1151" s="693"/>
      <c r="L1151" s="693"/>
      <c r="M1151" s="693"/>
      <c r="N1151" s="693"/>
      <c r="O1151" s="693"/>
      <c r="P1151" s="693"/>
      <c r="Q1151" s="693"/>
    </row>
    <row r="1152" spans="1:17" ht="13.5">
      <c r="A1152" s="693"/>
      <c r="B1152" s="693"/>
      <c r="C1152" s="693"/>
      <c r="D1152" s="693"/>
      <c r="E1152" s="693"/>
      <c r="F1152" s="693"/>
      <c r="G1152" s="693"/>
      <c r="H1152" s="693"/>
      <c r="I1152" s="693"/>
      <c r="J1152" s="693"/>
      <c r="K1152" s="693"/>
      <c r="L1152" s="693"/>
      <c r="M1152" s="693"/>
      <c r="N1152" s="693"/>
      <c r="O1152" s="693"/>
      <c r="P1152" s="693"/>
      <c r="Q1152" s="693"/>
    </row>
    <row r="1153" spans="1:17" ht="13.5">
      <c r="A1153" s="693"/>
      <c r="B1153" s="693"/>
      <c r="C1153" s="693"/>
      <c r="D1153" s="693"/>
      <c r="E1153" s="693"/>
      <c r="F1153" s="693"/>
      <c r="G1153" s="693"/>
      <c r="H1153" s="693"/>
      <c r="I1153" s="693"/>
      <c r="J1153" s="693"/>
      <c r="K1153" s="693"/>
      <c r="L1153" s="693"/>
      <c r="M1153" s="693"/>
      <c r="N1153" s="693"/>
      <c r="O1153" s="693"/>
      <c r="P1153" s="693"/>
      <c r="Q1153" s="693"/>
    </row>
    <row r="1154" spans="1:17" ht="13.5">
      <c r="A1154" s="693"/>
      <c r="B1154" s="693"/>
      <c r="C1154" s="693"/>
      <c r="D1154" s="693"/>
      <c r="E1154" s="693"/>
      <c r="F1154" s="693"/>
      <c r="G1154" s="693"/>
      <c r="H1154" s="693"/>
      <c r="I1154" s="693"/>
      <c r="J1154" s="693"/>
      <c r="K1154" s="693"/>
      <c r="L1154" s="693"/>
      <c r="M1154" s="693"/>
      <c r="N1154" s="693"/>
      <c r="O1154" s="693"/>
      <c r="P1154" s="693"/>
      <c r="Q1154" s="693"/>
    </row>
    <row r="1155" spans="1:17" ht="13.5">
      <c r="A1155" s="693"/>
      <c r="B1155" s="693"/>
      <c r="C1155" s="693"/>
      <c r="D1155" s="693"/>
      <c r="E1155" s="693"/>
      <c r="F1155" s="693"/>
      <c r="G1155" s="693"/>
      <c r="H1155" s="693"/>
      <c r="I1155" s="693"/>
      <c r="J1155" s="693"/>
      <c r="K1155" s="693"/>
      <c r="L1155" s="693"/>
      <c r="M1155" s="693"/>
      <c r="N1155" s="693"/>
      <c r="O1155" s="693"/>
      <c r="P1155" s="693"/>
      <c r="Q1155" s="693"/>
    </row>
    <row r="1156" spans="1:17" ht="13.5">
      <c r="A1156" s="693"/>
      <c r="B1156" s="693"/>
      <c r="C1156" s="693"/>
      <c r="D1156" s="693"/>
      <c r="E1156" s="693"/>
      <c r="F1156" s="693"/>
      <c r="G1156" s="693"/>
      <c r="H1156" s="693"/>
      <c r="I1156" s="693"/>
      <c r="J1156" s="693"/>
      <c r="K1156" s="693"/>
      <c r="L1156" s="693"/>
      <c r="M1156" s="693"/>
      <c r="N1156" s="693"/>
      <c r="O1156" s="693"/>
      <c r="P1156" s="693"/>
      <c r="Q1156" s="693"/>
    </row>
    <row r="1157" spans="1:17" ht="13.5">
      <c r="A1157" s="693"/>
      <c r="B1157" s="693"/>
      <c r="C1157" s="693"/>
      <c r="D1157" s="693"/>
      <c r="E1157" s="693"/>
      <c r="F1157" s="693"/>
      <c r="G1157" s="693"/>
      <c r="H1157" s="693"/>
      <c r="I1157" s="693"/>
      <c r="J1157" s="693"/>
      <c r="K1157" s="693"/>
      <c r="L1157" s="693"/>
      <c r="M1157" s="693"/>
      <c r="N1157" s="693"/>
      <c r="O1157" s="693"/>
      <c r="P1157" s="693"/>
      <c r="Q1157" s="693"/>
    </row>
    <row r="1158" spans="1:17" ht="13.5">
      <c r="A1158" s="693"/>
      <c r="B1158" s="693"/>
      <c r="C1158" s="693"/>
      <c r="D1158" s="693"/>
      <c r="E1158" s="693"/>
      <c r="F1158" s="693"/>
      <c r="G1158" s="693"/>
      <c r="H1158" s="693"/>
      <c r="I1158" s="693"/>
      <c r="J1158" s="693"/>
      <c r="K1158" s="693"/>
      <c r="L1158" s="693"/>
      <c r="M1158" s="693"/>
      <c r="N1158" s="693"/>
      <c r="O1158" s="693"/>
      <c r="P1158" s="693"/>
      <c r="Q1158" s="693"/>
    </row>
    <row r="1159" spans="1:17" ht="13.5">
      <c r="A1159" s="693"/>
      <c r="B1159" s="693"/>
      <c r="C1159" s="693"/>
      <c r="D1159" s="693"/>
      <c r="E1159" s="693"/>
      <c r="F1159" s="693"/>
      <c r="G1159" s="693"/>
      <c r="H1159" s="693"/>
      <c r="I1159" s="693"/>
      <c r="J1159" s="693"/>
      <c r="K1159" s="693"/>
      <c r="L1159" s="693"/>
      <c r="M1159" s="693"/>
      <c r="N1159" s="693"/>
      <c r="O1159" s="693"/>
      <c r="P1159" s="693"/>
      <c r="Q1159" s="693"/>
    </row>
    <row r="1160" spans="1:17" ht="13.5">
      <c r="A1160" s="693"/>
      <c r="B1160" s="693"/>
      <c r="C1160" s="693"/>
      <c r="D1160" s="693"/>
      <c r="E1160" s="693"/>
      <c r="F1160" s="693"/>
      <c r="G1160" s="693"/>
      <c r="H1160" s="693"/>
      <c r="I1160" s="693"/>
      <c r="J1160" s="693"/>
      <c r="K1160" s="693"/>
      <c r="L1160" s="693"/>
      <c r="M1160" s="693"/>
      <c r="N1160" s="693"/>
      <c r="O1160" s="693"/>
      <c r="P1160" s="693"/>
      <c r="Q1160" s="693"/>
    </row>
    <row r="1161" spans="1:17" ht="13.5">
      <c r="A1161" s="693"/>
      <c r="B1161" s="693"/>
      <c r="C1161" s="693"/>
      <c r="D1161" s="693"/>
      <c r="E1161" s="693"/>
      <c r="F1161" s="693"/>
      <c r="G1161" s="693"/>
      <c r="H1161" s="693"/>
      <c r="I1161" s="693"/>
      <c r="J1161" s="693"/>
      <c r="K1161" s="693"/>
      <c r="L1161" s="693"/>
      <c r="M1161" s="693"/>
      <c r="N1161" s="693"/>
      <c r="O1161" s="693"/>
      <c r="P1161" s="693"/>
      <c r="Q1161" s="693"/>
    </row>
    <row r="1162" spans="1:17" ht="13.5">
      <c r="A1162" s="693"/>
      <c r="B1162" s="693"/>
      <c r="C1162" s="693"/>
      <c r="D1162" s="693"/>
      <c r="E1162" s="693"/>
      <c r="F1162" s="693"/>
      <c r="G1162" s="693"/>
      <c r="H1162" s="693"/>
      <c r="I1162" s="693"/>
      <c r="J1162" s="693"/>
      <c r="K1162" s="693"/>
      <c r="L1162" s="693"/>
      <c r="M1162" s="693"/>
      <c r="N1162" s="693"/>
      <c r="O1162" s="693"/>
      <c r="P1162" s="693"/>
      <c r="Q1162" s="693"/>
    </row>
    <row r="1163" spans="1:17" ht="13.5">
      <c r="A1163" s="693"/>
      <c r="B1163" s="693"/>
      <c r="C1163" s="693"/>
      <c r="D1163" s="693"/>
      <c r="E1163" s="693"/>
      <c r="F1163" s="693"/>
      <c r="G1163" s="693"/>
      <c r="H1163" s="693"/>
      <c r="I1163" s="693"/>
      <c r="J1163" s="693"/>
      <c r="K1163" s="693"/>
      <c r="L1163" s="693"/>
      <c r="M1163" s="693"/>
      <c r="N1163" s="693"/>
      <c r="O1163" s="693"/>
      <c r="P1163" s="693"/>
      <c r="Q1163" s="693"/>
    </row>
    <row r="1164" spans="1:17" ht="13.5">
      <c r="A1164" s="693"/>
      <c r="B1164" s="693"/>
      <c r="C1164" s="693"/>
      <c r="D1164" s="693"/>
      <c r="E1164" s="693"/>
      <c r="F1164" s="693"/>
      <c r="G1164" s="693"/>
      <c r="H1164" s="693"/>
      <c r="I1164" s="693"/>
      <c r="J1164" s="693"/>
      <c r="K1164" s="693"/>
      <c r="L1164" s="693"/>
      <c r="M1164" s="693"/>
      <c r="N1164" s="693"/>
      <c r="O1164" s="693"/>
      <c r="P1164" s="693"/>
      <c r="Q1164" s="693"/>
    </row>
    <row r="1165" spans="1:17" ht="13.5">
      <c r="A1165" s="693"/>
      <c r="B1165" s="693"/>
      <c r="C1165" s="693"/>
      <c r="D1165" s="693"/>
      <c r="E1165" s="693"/>
      <c r="F1165" s="693"/>
      <c r="G1165" s="693"/>
      <c r="H1165" s="693"/>
      <c r="I1165" s="693"/>
      <c r="J1165" s="693"/>
      <c r="K1165" s="693"/>
      <c r="L1165" s="693"/>
      <c r="M1165" s="693"/>
      <c r="N1165" s="693"/>
      <c r="O1165" s="693"/>
      <c r="P1165" s="693"/>
      <c r="Q1165" s="693"/>
    </row>
    <row r="1166" spans="1:17" ht="13.5">
      <c r="A1166" s="693"/>
      <c r="B1166" s="693"/>
      <c r="C1166" s="693"/>
      <c r="D1166" s="693"/>
      <c r="E1166" s="693"/>
      <c r="F1166" s="693"/>
      <c r="G1166" s="693"/>
      <c r="H1166" s="693"/>
      <c r="I1166" s="693"/>
      <c r="J1166" s="693"/>
      <c r="K1166" s="693"/>
      <c r="L1166" s="693"/>
      <c r="M1166" s="693"/>
      <c r="N1166" s="693"/>
      <c r="O1166" s="693"/>
      <c r="P1166" s="693"/>
      <c r="Q1166" s="693"/>
    </row>
    <row r="1167" spans="1:17" ht="13.5">
      <c r="A1167" s="693"/>
      <c r="B1167" s="693"/>
      <c r="C1167" s="693"/>
      <c r="D1167" s="693"/>
      <c r="E1167" s="693"/>
      <c r="F1167" s="693"/>
      <c r="G1167" s="693"/>
      <c r="H1167" s="693"/>
      <c r="I1167" s="693"/>
      <c r="J1167" s="693"/>
      <c r="K1167" s="693"/>
      <c r="L1167" s="693"/>
      <c r="M1167" s="693"/>
      <c r="N1167" s="693"/>
      <c r="O1167" s="693"/>
      <c r="P1167" s="693"/>
      <c r="Q1167" s="693"/>
    </row>
    <row r="1168" spans="1:17" ht="13.5">
      <c r="A1168" s="693"/>
      <c r="B1168" s="693"/>
      <c r="C1168" s="693"/>
      <c r="D1168" s="693"/>
      <c r="E1168" s="693"/>
      <c r="F1168" s="693"/>
      <c r="G1168" s="693"/>
      <c r="H1168" s="693"/>
      <c r="I1168" s="693"/>
      <c r="J1168" s="693"/>
      <c r="K1168" s="693"/>
      <c r="L1168" s="693"/>
      <c r="M1168" s="693"/>
      <c r="N1168" s="693"/>
      <c r="O1168" s="693"/>
      <c r="P1168" s="693"/>
      <c r="Q1168" s="693"/>
    </row>
    <row r="1169" spans="1:17" ht="13.5">
      <c r="A1169" s="693"/>
      <c r="B1169" s="693"/>
      <c r="C1169" s="693"/>
      <c r="D1169" s="693"/>
      <c r="E1169" s="693"/>
      <c r="F1169" s="693"/>
      <c r="G1169" s="693"/>
      <c r="H1169" s="693"/>
      <c r="I1169" s="693"/>
      <c r="J1169" s="693"/>
      <c r="K1169" s="693"/>
      <c r="L1169" s="693"/>
      <c r="M1169" s="693"/>
      <c r="N1169" s="693"/>
      <c r="O1169" s="693"/>
      <c r="P1169" s="693"/>
      <c r="Q1169" s="693"/>
    </row>
    <row r="1170" spans="1:17" ht="13.5">
      <c r="A1170" s="693"/>
      <c r="B1170" s="693"/>
      <c r="C1170" s="693"/>
      <c r="D1170" s="693"/>
      <c r="E1170" s="693"/>
      <c r="F1170" s="693"/>
      <c r="G1170" s="693"/>
      <c r="H1170" s="693"/>
      <c r="I1170" s="693"/>
      <c r="J1170" s="693"/>
      <c r="K1170" s="693"/>
      <c r="L1170" s="693"/>
      <c r="M1170" s="693"/>
      <c r="N1170" s="693"/>
      <c r="O1170" s="693"/>
      <c r="P1170" s="693"/>
      <c r="Q1170" s="693"/>
    </row>
    <row r="1171" spans="1:17" ht="13.5">
      <c r="A1171" s="693"/>
      <c r="B1171" s="693"/>
      <c r="C1171" s="693"/>
      <c r="D1171" s="693"/>
      <c r="E1171" s="693"/>
      <c r="F1171" s="693"/>
      <c r="G1171" s="693"/>
      <c r="H1171" s="693"/>
      <c r="I1171" s="693"/>
      <c r="J1171" s="693"/>
      <c r="K1171" s="693"/>
      <c r="L1171" s="693"/>
      <c r="M1171" s="693"/>
      <c r="N1171" s="693"/>
      <c r="O1171" s="693"/>
      <c r="P1171" s="693"/>
      <c r="Q1171" s="693"/>
    </row>
    <row r="1172" spans="1:17" ht="13.5">
      <c r="A1172" s="693"/>
      <c r="B1172" s="693"/>
      <c r="C1172" s="693"/>
      <c r="D1172" s="693"/>
      <c r="E1172" s="693"/>
      <c r="F1172" s="693"/>
      <c r="G1172" s="693"/>
      <c r="H1172" s="693"/>
      <c r="I1172" s="693"/>
      <c r="J1172" s="693"/>
      <c r="K1172" s="693"/>
      <c r="L1172" s="693"/>
      <c r="M1172" s="693"/>
      <c r="N1172" s="693"/>
      <c r="O1172" s="693"/>
      <c r="P1172" s="693"/>
      <c r="Q1172" s="693"/>
    </row>
    <row r="1173" spans="1:17" ht="13.5">
      <c r="A1173" s="693"/>
      <c r="B1173" s="693"/>
      <c r="C1173" s="693"/>
      <c r="D1173" s="693"/>
      <c r="E1173" s="693"/>
      <c r="F1173" s="693"/>
      <c r="G1173" s="693"/>
      <c r="H1173" s="693"/>
      <c r="I1173" s="693"/>
      <c r="J1173" s="693"/>
      <c r="K1173" s="693"/>
      <c r="L1173" s="693"/>
      <c r="M1173" s="693"/>
      <c r="N1173" s="693"/>
      <c r="O1173" s="693"/>
      <c r="P1173" s="693"/>
      <c r="Q1173" s="693"/>
    </row>
    <row r="1174" spans="1:17" ht="13.5">
      <c r="A1174" s="693"/>
      <c r="B1174" s="693"/>
      <c r="C1174" s="693"/>
      <c r="D1174" s="693"/>
      <c r="E1174" s="693"/>
      <c r="F1174" s="693"/>
      <c r="G1174" s="693"/>
      <c r="H1174" s="693"/>
      <c r="I1174" s="693"/>
      <c r="J1174" s="693"/>
      <c r="K1174" s="693"/>
      <c r="L1174" s="693"/>
      <c r="M1174" s="693"/>
      <c r="N1174" s="693"/>
      <c r="O1174" s="693"/>
      <c r="P1174" s="693"/>
      <c r="Q1174" s="693"/>
    </row>
    <row r="1175" spans="1:17" ht="13.5">
      <c r="A1175" s="693"/>
      <c r="B1175" s="693"/>
      <c r="C1175" s="693"/>
      <c r="D1175" s="693"/>
      <c r="E1175" s="693"/>
      <c r="F1175" s="693"/>
      <c r="G1175" s="693"/>
      <c r="H1175" s="693"/>
      <c r="I1175" s="693"/>
      <c r="J1175" s="693"/>
      <c r="K1175" s="693"/>
      <c r="L1175" s="693"/>
      <c r="M1175" s="693"/>
      <c r="N1175" s="693"/>
      <c r="O1175" s="693"/>
      <c r="P1175" s="693"/>
      <c r="Q1175" s="693"/>
    </row>
    <row r="1176" spans="1:17" ht="13.5">
      <c r="A1176" s="693"/>
      <c r="B1176" s="693"/>
      <c r="C1176" s="693"/>
      <c r="D1176" s="693"/>
      <c r="E1176" s="693"/>
      <c r="F1176" s="693"/>
      <c r="G1176" s="693"/>
      <c r="H1176" s="693"/>
      <c r="I1176" s="693"/>
      <c r="J1176" s="693"/>
      <c r="K1176" s="693"/>
      <c r="L1176" s="693"/>
      <c r="M1176" s="693"/>
      <c r="N1176" s="693"/>
      <c r="O1176" s="693"/>
      <c r="P1176" s="693"/>
      <c r="Q1176" s="693"/>
    </row>
    <row r="1177" spans="1:17" ht="13.5">
      <c r="A1177" s="693"/>
      <c r="B1177" s="693"/>
      <c r="C1177" s="693"/>
      <c r="D1177" s="693"/>
      <c r="E1177" s="693"/>
      <c r="F1177" s="693"/>
      <c r="G1177" s="693"/>
      <c r="H1177" s="693"/>
      <c r="I1177" s="693"/>
      <c r="J1177" s="693"/>
      <c r="K1177" s="693"/>
      <c r="L1177" s="693"/>
      <c r="M1177" s="693"/>
      <c r="N1177" s="693"/>
      <c r="O1177" s="693"/>
      <c r="P1177" s="693"/>
      <c r="Q1177" s="693"/>
    </row>
    <row r="1178" spans="1:17" ht="13.5">
      <c r="A1178" s="693"/>
      <c r="B1178" s="693"/>
      <c r="C1178" s="693"/>
      <c r="D1178" s="693"/>
      <c r="E1178" s="693"/>
      <c r="F1178" s="693"/>
      <c r="G1178" s="693"/>
      <c r="H1178" s="693"/>
      <c r="I1178" s="693"/>
      <c r="J1178" s="693"/>
      <c r="K1178" s="693"/>
      <c r="L1178" s="693"/>
      <c r="M1178" s="693"/>
      <c r="N1178" s="693"/>
      <c r="O1178" s="693"/>
      <c r="P1178" s="693"/>
      <c r="Q1178" s="693"/>
    </row>
    <row r="1179" spans="1:17" ht="13.5">
      <c r="A1179" s="693"/>
      <c r="B1179" s="693"/>
      <c r="C1179" s="693"/>
      <c r="D1179" s="693"/>
      <c r="E1179" s="693"/>
      <c r="F1179" s="693"/>
      <c r="G1179" s="693"/>
      <c r="H1179" s="693"/>
      <c r="I1179" s="693"/>
      <c r="J1179" s="693"/>
      <c r="K1179" s="693"/>
      <c r="L1179" s="693"/>
      <c r="M1179" s="693"/>
      <c r="N1179" s="693"/>
      <c r="O1179" s="693"/>
      <c r="P1179" s="693"/>
      <c r="Q1179" s="693"/>
    </row>
    <row r="1180" spans="1:17" ht="13.5">
      <c r="A1180" s="693"/>
      <c r="B1180" s="693"/>
      <c r="C1180" s="693"/>
      <c r="D1180" s="693"/>
      <c r="E1180" s="693"/>
      <c r="F1180" s="693"/>
      <c r="G1180" s="693"/>
      <c r="H1180" s="693"/>
      <c r="I1180" s="693"/>
      <c r="J1180" s="693"/>
      <c r="K1180" s="693"/>
      <c r="L1180" s="693"/>
      <c r="M1180" s="693"/>
      <c r="N1180" s="693"/>
      <c r="O1180" s="693"/>
      <c r="P1180" s="693"/>
      <c r="Q1180" s="693"/>
    </row>
    <row r="1181" spans="1:17" ht="13.5">
      <c r="A1181" s="693"/>
      <c r="B1181" s="693"/>
      <c r="C1181" s="693"/>
      <c r="D1181" s="693"/>
      <c r="E1181" s="693"/>
      <c r="F1181" s="693"/>
      <c r="G1181" s="693"/>
      <c r="H1181" s="693"/>
      <c r="I1181" s="693"/>
      <c r="J1181" s="693"/>
      <c r="K1181" s="693"/>
      <c r="L1181" s="693"/>
      <c r="M1181" s="693"/>
      <c r="N1181" s="693"/>
      <c r="O1181" s="693"/>
      <c r="P1181" s="693"/>
      <c r="Q1181" s="693"/>
    </row>
    <row r="1182" spans="1:17" ht="13.5">
      <c r="A1182" s="693"/>
      <c r="B1182" s="693"/>
      <c r="C1182" s="693"/>
      <c r="D1182" s="693"/>
      <c r="E1182" s="693"/>
      <c r="F1182" s="693"/>
      <c r="G1182" s="693"/>
      <c r="H1182" s="693"/>
      <c r="I1182" s="693"/>
      <c r="J1182" s="693"/>
      <c r="K1182" s="693"/>
      <c r="L1182" s="693"/>
      <c r="M1182" s="693"/>
      <c r="N1182" s="693"/>
      <c r="O1182" s="693"/>
      <c r="P1182" s="693"/>
      <c r="Q1182" s="693"/>
    </row>
    <row r="1183" spans="1:17" ht="13.5">
      <c r="A1183" s="693"/>
      <c r="B1183" s="693"/>
      <c r="C1183" s="693"/>
      <c r="D1183" s="693"/>
      <c r="E1183" s="693"/>
      <c r="F1183" s="693"/>
      <c r="G1183" s="693"/>
      <c r="H1183" s="693"/>
      <c r="I1183" s="693"/>
      <c r="J1183" s="693"/>
      <c r="K1183" s="693"/>
      <c r="L1183" s="693"/>
      <c r="M1183" s="693"/>
      <c r="N1183" s="693"/>
      <c r="O1183" s="693"/>
      <c r="P1183" s="693"/>
      <c r="Q1183" s="693"/>
    </row>
    <row r="1184" spans="1:17" ht="13.5">
      <c r="A1184" s="693"/>
      <c r="B1184" s="693"/>
      <c r="C1184" s="693"/>
      <c r="D1184" s="693"/>
      <c r="E1184" s="693"/>
      <c r="F1184" s="693"/>
      <c r="G1184" s="693"/>
      <c r="H1184" s="693"/>
      <c r="I1184" s="693"/>
      <c r="J1184" s="693"/>
      <c r="K1184" s="693"/>
      <c r="L1184" s="693"/>
      <c r="M1184" s="693"/>
      <c r="N1184" s="693"/>
      <c r="O1184" s="693"/>
      <c r="P1184" s="693"/>
      <c r="Q1184" s="693"/>
    </row>
    <row r="1185" spans="1:17" ht="13.5">
      <c r="A1185" s="693"/>
      <c r="B1185" s="693"/>
      <c r="C1185" s="693"/>
      <c r="D1185" s="693"/>
      <c r="E1185" s="693"/>
      <c r="F1185" s="693"/>
      <c r="G1185" s="693"/>
      <c r="H1185" s="693"/>
      <c r="I1185" s="693"/>
      <c r="J1185" s="693"/>
      <c r="K1185" s="693"/>
      <c r="L1185" s="693"/>
      <c r="M1185" s="693"/>
      <c r="N1185" s="693"/>
      <c r="O1185" s="693"/>
      <c r="P1185" s="693"/>
      <c r="Q1185" s="693"/>
    </row>
    <row r="1186" spans="1:17" ht="13.5">
      <c r="A1186" s="693"/>
      <c r="B1186" s="693"/>
      <c r="C1186" s="693"/>
      <c r="D1186" s="693"/>
      <c r="E1186" s="693"/>
      <c r="F1186" s="693"/>
      <c r="G1186" s="693"/>
      <c r="H1186" s="693"/>
      <c r="I1186" s="693"/>
      <c r="J1186" s="693"/>
      <c r="K1186" s="693"/>
      <c r="L1186" s="693"/>
      <c r="M1186" s="693"/>
      <c r="N1186" s="693"/>
      <c r="O1186" s="693"/>
      <c r="P1186" s="693"/>
      <c r="Q1186" s="693"/>
    </row>
    <row r="1187" spans="1:17" ht="13.5">
      <c r="A1187" s="693"/>
      <c r="B1187" s="693"/>
      <c r="C1187" s="693"/>
      <c r="D1187" s="693"/>
      <c r="E1187" s="693"/>
      <c r="F1187" s="693"/>
      <c r="G1187" s="693"/>
      <c r="H1187" s="693"/>
      <c r="I1187" s="693"/>
      <c r="J1187" s="693"/>
      <c r="K1187" s="693"/>
      <c r="L1187" s="693"/>
      <c r="M1187" s="693"/>
      <c r="N1187" s="693"/>
      <c r="O1187" s="693"/>
      <c r="P1187" s="693"/>
      <c r="Q1187" s="693"/>
    </row>
    <row r="1188" spans="1:17" ht="13.5">
      <c r="A1188" s="693"/>
      <c r="B1188" s="693"/>
      <c r="C1188" s="693"/>
      <c r="D1188" s="693"/>
      <c r="E1188" s="693"/>
      <c r="F1188" s="693"/>
      <c r="G1188" s="693"/>
      <c r="H1188" s="693"/>
      <c r="I1188" s="693"/>
      <c r="J1188" s="693"/>
      <c r="K1188" s="693"/>
      <c r="L1188" s="693"/>
      <c r="M1188" s="693"/>
      <c r="N1188" s="693"/>
      <c r="O1188" s="693"/>
      <c r="P1188" s="693"/>
      <c r="Q1188" s="693"/>
    </row>
    <row r="1189" spans="1:17" ht="13.5">
      <c r="A1189" s="693"/>
      <c r="B1189" s="693"/>
      <c r="C1189" s="693"/>
      <c r="D1189" s="693"/>
      <c r="E1189" s="693"/>
      <c r="F1189" s="693"/>
      <c r="G1189" s="693"/>
      <c r="H1189" s="693"/>
      <c r="I1189" s="693"/>
      <c r="J1189" s="693"/>
      <c r="K1189" s="693"/>
      <c r="L1189" s="693"/>
      <c r="M1189" s="693"/>
      <c r="N1189" s="693"/>
      <c r="O1189" s="693"/>
      <c r="P1189" s="693"/>
      <c r="Q1189" s="693"/>
    </row>
    <row r="1190" spans="1:17" ht="13.5">
      <c r="A1190" s="693"/>
      <c r="B1190" s="693"/>
      <c r="C1190" s="693"/>
      <c r="D1190" s="693"/>
      <c r="E1190" s="693"/>
      <c r="F1190" s="693"/>
      <c r="G1190" s="693"/>
      <c r="H1190" s="693"/>
      <c r="I1190" s="693"/>
      <c r="J1190" s="693"/>
      <c r="K1190" s="693"/>
      <c r="L1190" s="693"/>
      <c r="M1190" s="693"/>
      <c r="N1190" s="693"/>
      <c r="O1190" s="693"/>
      <c r="P1190" s="693"/>
      <c r="Q1190" s="693"/>
    </row>
    <row r="1191" spans="1:17" ht="13.5">
      <c r="A1191" s="693"/>
      <c r="B1191" s="693"/>
      <c r="C1191" s="693"/>
      <c r="D1191" s="693"/>
      <c r="E1191" s="693"/>
      <c r="F1191" s="693"/>
      <c r="G1191" s="693"/>
      <c r="H1191" s="693"/>
      <c r="I1191" s="693"/>
      <c r="J1191" s="693"/>
      <c r="K1191" s="693"/>
      <c r="L1191" s="693"/>
      <c r="M1191" s="693"/>
      <c r="N1191" s="693"/>
      <c r="O1191" s="693"/>
      <c r="P1191" s="693"/>
      <c r="Q1191" s="693"/>
    </row>
    <row r="1192" spans="1:17" ht="13.5">
      <c r="A1192" s="693"/>
      <c r="B1192" s="693"/>
      <c r="C1192" s="693"/>
      <c r="D1192" s="693"/>
      <c r="E1192" s="693"/>
      <c r="F1192" s="693"/>
      <c r="G1192" s="693"/>
      <c r="H1192" s="693"/>
      <c r="I1192" s="693"/>
      <c r="J1192" s="693"/>
      <c r="K1192" s="693"/>
      <c r="L1192" s="693"/>
      <c r="M1192" s="693"/>
      <c r="N1192" s="693"/>
      <c r="O1192" s="693"/>
      <c r="P1192" s="693"/>
      <c r="Q1192" s="693"/>
    </row>
    <row r="1193" spans="1:17" ht="13.5">
      <c r="A1193" s="693"/>
      <c r="B1193" s="693"/>
      <c r="C1193" s="693"/>
      <c r="D1193" s="693"/>
      <c r="E1193" s="693"/>
      <c r="F1193" s="693"/>
      <c r="G1193" s="693"/>
      <c r="H1193" s="693"/>
      <c r="I1193" s="693"/>
      <c r="J1193" s="693"/>
      <c r="K1193" s="693"/>
      <c r="L1193" s="693"/>
      <c r="M1193" s="693"/>
      <c r="N1193" s="693"/>
      <c r="O1193" s="693"/>
      <c r="P1193" s="693"/>
      <c r="Q1193" s="693"/>
    </row>
    <row r="1194" spans="1:17" ht="13.5">
      <c r="A1194" s="693"/>
      <c r="B1194" s="693"/>
      <c r="C1194" s="693"/>
      <c r="D1194" s="693"/>
      <c r="E1194" s="693"/>
      <c r="F1194" s="693"/>
      <c r="G1194" s="693"/>
      <c r="H1194" s="693"/>
      <c r="I1194" s="693"/>
      <c r="J1194" s="693"/>
      <c r="K1194" s="693"/>
      <c r="L1194" s="693"/>
      <c r="M1194" s="693"/>
      <c r="N1194" s="693"/>
      <c r="O1194" s="693"/>
      <c r="P1194" s="693"/>
      <c r="Q1194" s="693"/>
    </row>
    <row r="1195" spans="1:17" ht="13.5">
      <c r="A1195" s="693"/>
      <c r="B1195" s="693"/>
      <c r="C1195" s="693"/>
      <c r="D1195" s="693"/>
      <c r="E1195" s="693"/>
      <c r="F1195" s="693"/>
      <c r="G1195" s="693"/>
      <c r="H1195" s="693"/>
      <c r="I1195" s="693"/>
      <c r="J1195" s="693"/>
      <c r="K1195" s="693"/>
      <c r="L1195" s="693"/>
      <c r="M1195" s="693"/>
      <c r="N1195" s="693"/>
      <c r="O1195" s="693"/>
      <c r="P1195" s="693"/>
      <c r="Q1195" s="693"/>
    </row>
    <row r="1196" spans="1:17" ht="13.5">
      <c r="A1196" s="693"/>
      <c r="B1196" s="693"/>
      <c r="C1196" s="693"/>
      <c r="D1196" s="693"/>
      <c r="E1196" s="693"/>
      <c r="F1196" s="693"/>
      <c r="G1196" s="693"/>
      <c r="H1196" s="693"/>
      <c r="I1196" s="693"/>
      <c r="J1196" s="693"/>
      <c r="K1196" s="693"/>
      <c r="L1196" s="693"/>
      <c r="M1196" s="693"/>
      <c r="N1196" s="693"/>
      <c r="O1196" s="693"/>
      <c r="P1196" s="693"/>
      <c r="Q1196" s="693"/>
    </row>
    <row r="1197" spans="1:17" ht="13.5">
      <c r="A1197" s="693"/>
      <c r="B1197" s="693"/>
      <c r="C1197" s="693"/>
      <c r="D1197" s="693"/>
      <c r="E1197" s="693"/>
      <c r="F1197" s="693"/>
      <c r="G1197" s="693"/>
      <c r="H1197" s="693"/>
      <c r="I1197" s="693"/>
      <c r="J1197" s="693"/>
      <c r="K1197" s="693"/>
      <c r="L1197" s="693"/>
      <c r="M1197" s="693"/>
      <c r="N1197" s="693"/>
      <c r="O1197" s="693"/>
      <c r="P1197" s="693"/>
      <c r="Q1197" s="693"/>
    </row>
    <row r="1198" spans="1:17" ht="13.5">
      <c r="A1198" s="693"/>
      <c r="B1198" s="693"/>
      <c r="C1198" s="693"/>
      <c r="D1198" s="693"/>
      <c r="E1198" s="693"/>
      <c r="F1198" s="693"/>
      <c r="G1198" s="693"/>
      <c r="H1198" s="693"/>
      <c r="I1198" s="693"/>
      <c r="J1198" s="693"/>
      <c r="K1198" s="693"/>
      <c r="L1198" s="693"/>
      <c r="M1198" s="693"/>
      <c r="N1198" s="693"/>
      <c r="O1198" s="693"/>
      <c r="P1198" s="693"/>
      <c r="Q1198" s="693"/>
    </row>
    <row r="1199" spans="1:17" ht="13.5">
      <c r="A1199" s="693"/>
      <c r="B1199" s="693"/>
      <c r="C1199" s="693"/>
      <c r="D1199" s="693"/>
      <c r="E1199" s="693"/>
      <c r="F1199" s="693"/>
      <c r="G1199" s="693"/>
      <c r="H1199" s="693"/>
      <c r="I1199" s="693"/>
      <c r="J1199" s="693"/>
      <c r="K1199" s="693"/>
      <c r="L1199" s="693"/>
      <c r="M1199" s="693"/>
      <c r="N1199" s="693"/>
      <c r="O1199" s="693"/>
      <c r="P1199" s="693"/>
      <c r="Q1199" s="693"/>
    </row>
    <row r="1200" spans="1:17" ht="13.5">
      <c r="A1200" s="693"/>
      <c r="B1200" s="693"/>
      <c r="C1200" s="693"/>
      <c r="D1200" s="693"/>
      <c r="E1200" s="693"/>
      <c r="F1200" s="693"/>
      <c r="G1200" s="693"/>
      <c r="H1200" s="693"/>
      <c r="I1200" s="693"/>
      <c r="J1200" s="693"/>
      <c r="K1200" s="693"/>
      <c r="L1200" s="693"/>
      <c r="M1200" s="693"/>
      <c r="N1200" s="693"/>
      <c r="O1200" s="693"/>
      <c r="P1200" s="693"/>
      <c r="Q1200" s="693"/>
    </row>
    <row r="1201" spans="1:17" ht="13.5">
      <c r="A1201" s="693"/>
      <c r="B1201" s="693"/>
      <c r="C1201" s="693"/>
      <c r="D1201" s="693"/>
      <c r="E1201" s="693"/>
      <c r="F1201" s="693"/>
      <c r="G1201" s="693"/>
      <c r="H1201" s="693"/>
      <c r="I1201" s="693"/>
      <c r="J1201" s="693"/>
      <c r="K1201" s="693"/>
      <c r="L1201" s="693"/>
      <c r="M1201" s="693"/>
      <c r="N1201" s="693"/>
      <c r="O1201" s="693"/>
      <c r="P1201" s="693"/>
      <c r="Q1201" s="693"/>
    </row>
    <row r="1202" spans="1:17" ht="13.5">
      <c r="A1202" s="693"/>
      <c r="B1202" s="693"/>
      <c r="C1202" s="693"/>
      <c r="D1202" s="693"/>
      <c r="E1202" s="693"/>
      <c r="F1202" s="693"/>
      <c r="G1202" s="693"/>
      <c r="H1202" s="693"/>
      <c r="I1202" s="693"/>
      <c r="J1202" s="693"/>
      <c r="K1202" s="693"/>
      <c r="L1202" s="693"/>
      <c r="M1202" s="693"/>
      <c r="N1202" s="693"/>
      <c r="O1202" s="693"/>
      <c r="P1202" s="693"/>
      <c r="Q1202" s="693"/>
    </row>
    <row r="1203" spans="1:17" ht="13.5">
      <c r="A1203" s="693"/>
      <c r="B1203" s="693"/>
      <c r="C1203" s="693"/>
      <c r="D1203" s="693"/>
      <c r="E1203" s="693"/>
      <c r="F1203" s="693"/>
      <c r="G1203" s="693"/>
      <c r="H1203" s="693"/>
      <c r="I1203" s="693"/>
      <c r="J1203" s="693"/>
      <c r="K1203" s="693"/>
      <c r="L1203" s="693"/>
      <c r="M1203" s="693"/>
      <c r="N1203" s="693"/>
      <c r="O1203" s="693"/>
      <c r="P1203" s="693"/>
      <c r="Q1203" s="693"/>
    </row>
    <row r="1204" spans="1:17" ht="13.5">
      <c r="A1204" s="693"/>
      <c r="B1204" s="693"/>
      <c r="C1204" s="693"/>
      <c r="D1204" s="693"/>
      <c r="E1204" s="693"/>
      <c r="F1204" s="693"/>
      <c r="G1204" s="693"/>
      <c r="H1204" s="693"/>
      <c r="I1204" s="693"/>
      <c r="J1204" s="693"/>
      <c r="K1204" s="693"/>
      <c r="L1204" s="693"/>
      <c r="M1204" s="693"/>
      <c r="N1204" s="693"/>
      <c r="O1204" s="693"/>
      <c r="P1204" s="693"/>
      <c r="Q1204" s="693"/>
    </row>
    <row r="1205" spans="1:17" ht="13.5">
      <c r="A1205" s="693"/>
      <c r="B1205" s="693"/>
      <c r="C1205" s="693"/>
      <c r="D1205" s="693"/>
      <c r="E1205" s="693"/>
      <c r="F1205" s="693"/>
      <c r="G1205" s="693"/>
      <c r="H1205" s="693"/>
      <c r="I1205" s="693"/>
      <c r="J1205" s="693"/>
      <c r="K1205" s="693"/>
      <c r="L1205" s="693"/>
      <c r="M1205" s="693"/>
      <c r="N1205" s="693"/>
      <c r="O1205" s="693"/>
      <c r="P1205" s="693"/>
      <c r="Q1205" s="693"/>
    </row>
    <row r="1206" spans="1:17" ht="13.5">
      <c r="A1206" s="693"/>
      <c r="B1206" s="693"/>
      <c r="C1206" s="693"/>
      <c r="D1206" s="693"/>
      <c r="E1206" s="693"/>
      <c r="F1206" s="693"/>
      <c r="G1206" s="693"/>
      <c r="H1206" s="693"/>
      <c r="I1206" s="693"/>
      <c r="J1206" s="693"/>
      <c r="K1206" s="693"/>
      <c r="L1206" s="693"/>
      <c r="M1206" s="693"/>
      <c r="N1206" s="693"/>
      <c r="O1206" s="693"/>
      <c r="P1206" s="693"/>
      <c r="Q1206" s="693"/>
    </row>
    <row r="1207" spans="1:17" ht="13.5">
      <c r="A1207" s="693"/>
      <c r="B1207" s="693"/>
      <c r="C1207" s="693"/>
      <c r="D1207" s="693"/>
      <c r="E1207" s="693"/>
      <c r="F1207" s="693"/>
      <c r="G1207" s="693"/>
      <c r="H1207" s="693"/>
      <c r="I1207" s="693"/>
      <c r="J1207" s="693"/>
      <c r="K1207" s="693"/>
      <c r="L1207" s="693"/>
      <c r="M1207" s="693"/>
      <c r="N1207" s="693"/>
      <c r="O1207" s="693"/>
      <c r="P1207" s="693"/>
      <c r="Q1207" s="693"/>
    </row>
    <row r="1208" spans="1:17" ht="13.5">
      <c r="A1208" s="693"/>
      <c r="B1208" s="693"/>
      <c r="C1208" s="693"/>
      <c r="D1208" s="693"/>
      <c r="E1208" s="693"/>
      <c r="F1208" s="693"/>
      <c r="G1208" s="693"/>
      <c r="H1208" s="693"/>
      <c r="I1208" s="693"/>
      <c r="J1208" s="693"/>
      <c r="K1208" s="693"/>
      <c r="L1208" s="693"/>
      <c r="M1208" s="693"/>
      <c r="N1208" s="693"/>
      <c r="O1208" s="693"/>
      <c r="P1208" s="693"/>
      <c r="Q1208" s="693"/>
    </row>
    <row r="1209" spans="1:17" ht="13.5">
      <c r="A1209" s="693"/>
      <c r="B1209" s="693"/>
      <c r="C1209" s="693"/>
      <c r="D1209" s="693"/>
      <c r="E1209" s="693"/>
      <c r="F1209" s="693"/>
      <c r="G1209" s="693"/>
      <c r="H1209" s="693"/>
      <c r="I1209" s="693"/>
      <c r="J1209" s="693"/>
      <c r="K1209" s="693"/>
      <c r="L1209" s="693"/>
      <c r="M1209" s="693"/>
      <c r="N1209" s="693"/>
      <c r="O1209" s="693"/>
      <c r="P1209" s="693"/>
      <c r="Q1209" s="693"/>
    </row>
    <row r="1210" spans="1:17" ht="13.5">
      <c r="A1210" s="693"/>
      <c r="B1210" s="693"/>
      <c r="C1210" s="693"/>
      <c r="D1210" s="693"/>
      <c r="E1210" s="693"/>
      <c r="F1210" s="693"/>
      <c r="G1210" s="693"/>
      <c r="H1210" s="693"/>
      <c r="I1210" s="693"/>
      <c r="J1210" s="693"/>
      <c r="K1210" s="693"/>
      <c r="L1210" s="693"/>
      <c r="M1210" s="693"/>
      <c r="N1210" s="693"/>
      <c r="O1210" s="693"/>
      <c r="P1210" s="693"/>
      <c r="Q1210" s="693"/>
    </row>
    <row r="1211" spans="1:17" ht="13.5">
      <c r="A1211" s="693"/>
      <c r="B1211" s="693"/>
      <c r="C1211" s="693"/>
      <c r="D1211" s="693"/>
      <c r="E1211" s="693"/>
      <c r="F1211" s="693"/>
      <c r="G1211" s="693"/>
      <c r="H1211" s="693"/>
      <c r="I1211" s="693"/>
      <c r="J1211" s="693"/>
      <c r="K1211" s="693"/>
      <c r="L1211" s="693"/>
      <c r="M1211" s="693"/>
      <c r="N1211" s="693"/>
      <c r="O1211" s="693"/>
      <c r="P1211" s="693"/>
      <c r="Q1211" s="693"/>
    </row>
    <row r="1212" spans="1:17" ht="13.5">
      <c r="A1212" s="693"/>
      <c r="B1212" s="693"/>
      <c r="C1212" s="693"/>
      <c r="D1212" s="693"/>
      <c r="E1212" s="693"/>
      <c r="F1212" s="693"/>
      <c r="G1212" s="693"/>
      <c r="H1212" s="693"/>
      <c r="I1212" s="693"/>
      <c r="J1212" s="693"/>
      <c r="K1212" s="693"/>
      <c r="L1212" s="693"/>
      <c r="M1212" s="693"/>
      <c r="N1212" s="693"/>
      <c r="O1212" s="693"/>
      <c r="P1212" s="693"/>
      <c r="Q1212" s="693"/>
    </row>
    <row r="1213" spans="1:17" ht="13.5">
      <c r="A1213" s="693"/>
      <c r="B1213" s="693"/>
      <c r="C1213" s="693"/>
      <c r="D1213" s="693"/>
      <c r="E1213" s="693"/>
      <c r="F1213" s="693"/>
      <c r="G1213" s="693"/>
      <c r="H1213" s="693"/>
      <c r="I1213" s="693"/>
      <c r="J1213" s="693"/>
      <c r="K1213" s="693"/>
      <c r="L1213" s="693"/>
      <c r="M1213" s="693"/>
      <c r="N1213" s="693"/>
      <c r="O1213" s="693"/>
      <c r="P1213" s="693"/>
      <c r="Q1213" s="693"/>
    </row>
    <row r="1214" spans="1:17" ht="13.5">
      <c r="A1214" s="693"/>
      <c r="B1214" s="693"/>
      <c r="C1214" s="693"/>
      <c r="D1214" s="693"/>
      <c r="E1214" s="693"/>
      <c r="F1214" s="693"/>
      <c r="G1214" s="693"/>
      <c r="H1214" s="693"/>
      <c r="I1214" s="693"/>
      <c r="J1214" s="693"/>
      <c r="K1214" s="693"/>
      <c r="L1214" s="693"/>
      <c r="M1214" s="693"/>
      <c r="N1214" s="693"/>
      <c r="O1214" s="693"/>
      <c r="P1214" s="693"/>
      <c r="Q1214" s="693"/>
    </row>
    <row r="1215" spans="1:17" ht="13.5">
      <c r="A1215" s="693"/>
      <c r="B1215" s="693"/>
      <c r="C1215" s="693"/>
      <c r="D1215" s="693"/>
      <c r="E1215" s="693"/>
      <c r="F1215" s="693"/>
      <c r="G1215" s="693"/>
      <c r="H1215" s="693"/>
      <c r="I1215" s="693"/>
      <c r="J1215" s="693"/>
      <c r="K1215" s="693"/>
      <c r="L1215" s="693"/>
      <c r="M1215" s="693"/>
      <c r="N1215" s="693"/>
      <c r="O1215" s="693"/>
      <c r="P1215" s="693"/>
      <c r="Q1215" s="693"/>
    </row>
    <row r="1216" spans="1:17" ht="13.5">
      <c r="A1216" s="693"/>
      <c r="B1216" s="693"/>
      <c r="C1216" s="693"/>
      <c r="D1216" s="693"/>
      <c r="E1216" s="693"/>
      <c r="F1216" s="693"/>
      <c r="G1216" s="693"/>
      <c r="H1216" s="693"/>
      <c r="I1216" s="693"/>
      <c r="J1216" s="693"/>
      <c r="K1216" s="693"/>
      <c r="L1216" s="693"/>
      <c r="M1216" s="693"/>
      <c r="N1216" s="693"/>
      <c r="O1216" s="693"/>
      <c r="P1216" s="693"/>
      <c r="Q1216" s="693"/>
    </row>
    <row r="1217" spans="1:17" ht="13.5">
      <c r="A1217" s="693"/>
      <c r="B1217" s="693"/>
      <c r="C1217" s="693"/>
      <c r="D1217" s="693"/>
      <c r="E1217" s="693"/>
      <c r="F1217" s="693"/>
      <c r="G1217" s="693"/>
      <c r="H1217" s="693"/>
      <c r="I1217" s="693"/>
      <c r="J1217" s="693"/>
      <c r="K1217" s="693"/>
      <c r="L1217" s="693"/>
      <c r="M1217" s="693"/>
      <c r="N1217" s="693"/>
      <c r="O1217" s="693"/>
      <c r="P1217" s="693"/>
      <c r="Q1217" s="693"/>
    </row>
    <row r="1218" spans="1:17" ht="13.5">
      <c r="A1218" s="693"/>
      <c r="B1218" s="693"/>
      <c r="C1218" s="693"/>
      <c r="D1218" s="693"/>
      <c r="E1218" s="693"/>
      <c r="F1218" s="693"/>
      <c r="G1218" s="693"/>
      <c r="H1218" s="693"/>
      <c r="I1218" s="693"/>
      <c r="J1218" s="693"/>
      <c r="K1218" s="693"/>
      <c r="L1218" s="693"/>
      <c r="M1218" s="693"/>
      <c r="N1218" s="693"/>
      <c r="O1218" s="693"/>
      <c r="P1218" s="693"/>
      <c r="Q1218" s="693"/>
    </row>
    <row r="1219" spans="1:17" ht="13.5">
      <c r="A1219" s="693"/>
      <c r="B1219" s="693"/>
      <c r="C1219" s="693"/>
      <c r="D1219" s="693"/>
      <c r="E1219" s="693"/>
      <c r="F1219" s="693"/>
      <c r="G1219" s="693"/>
      <c r="H1219" s="693"/>
      <c r="I1219" s="693"/>
      <c r="J1219" s="693"/>
      <c r="K1219" s="693"/>
      <c r="L1219" s="693"/>
      <c r="M1219" s="693"/>
      <c r="N1219" s="693"/>
      <c r="O1219" s="693"/>
      <c r="P1219" s="693"/>
      <c r="Q1219" s="693"/>
    </row>
    <row r="1220" spans="1:17" ht="13.5">
      <c r="A1220" s="693"/>
      <c r="B1220" s="693"/>
      <c r="C1220" s="693"/>
      <c r="D1220" s="693"/>
      <c r="E1220" s="693"/>
      <c r="F1220" s="693"/>
      <c r="G1220" s="693"/>
      <c r="H1220" s="693"/>
      <c r="I1220" s="693"/>
      <c r="J1220" s="693"/>
      <c r="K1220" s="693"/>
      <c r="L1220" s="693"/>
      <c r="M1220" s="693"/>
      <c r="N1220" s="693"/>
      <c r="O1220" s="693"/>
      <c r="P1220" s="693"/>
      <c r="Q1220" s="693"/>
    </row>
    <row r="1221" spans="1:17" ht="13.5">
      <c r="A1221" s="693"/>
      <c r="B1221" s="693"/>
      <c r="C1221" s="693"/>
      <c r="D1221" s="693"/>
      <c r="E1221" s="693"/>
      <c r="F1221" s="693"/>
      <c r="G1221" s="693"/>
      <c r="H1221" s="693"/>
      <c r="I1221" s="693"/>
      <c r="J1221" s="693"/>
      <c r="K1221" s="693"/>
      <c r="L1221" s="693"/>
      <c r="M1221" s="693"/>
      <c r="N1221" s="693"/>
      <c r="O1221" s="693"/>
      <c r="P1221" s="693"/>
      <c r="Q1221" s="693"/>
    </row>
    <row r="1222" spans="1:17" ht="13.5">
      <c r="A1222" s="693"/>
      <c r="B1222" s="693"/>
      <c r="C1222" s="693"/>
      <c r="D1222" s="693"/>
      <c r="E1222" s="693"/>
      <c r="F1222" s="693"/>
      <c r="G1222" s="693"/>
      <c r="H1222" s="693"/>
      <c r="I1222" s="693"/>
      <c r="J1222" s="693"/>
      <c r="K1222" s="693"/>
      <c r="L1222" s="693"/>
      <c r="M1222" s="693"/>
      <c r="N1222" s="693"/>
      <c r="O1222" s="693"/>
      <c r="P1222" s="693"/>
      <c r="Q1222" s="693"/>
    </row>
    <row r="1223" spans="1:17" ht="13.5">
      <c r="A1223" s="693"/>
      <c r="B1223" s="693"/>
      <c r="C1223" s="693"/>
      <c r="D1223" s="693"/>
      <c r="E1223" s="693"/>
      <c r="F1223" s="693"/>
      <c r="G1223" s="693"/>
      <c r="H1223" s="693"/>
      <c r="I1223" s="693"/>
      <c r="J1223" s="693"/>
      <c r="K1223" s="693"/>
      <c r="L1223" s="693"/>
      <c r="M1223" s="693"/>
      <c r="N1223" s="693"/>
      <c r="O1223" s="693"/>
      <c r="P1223" s="693"/>
      <c r="Q1223" s="693"/>
    </row>
    <row r="1224" spans="1:17" ht="13.5">
      <c r="A1224" s="693"/>
      <c r="B1224" s="693"/>
      <c r="C1224" s="693"/>
      <c r="D1224" s="693"/>
      <c r="E1224" s="693"/>
      <c r="F1224" s="693"/>
      <c r="G1224" s="693"/>
      <c r="H1224" s="693"/>
      <c r="I1224" s="693"/>
      <c r="J1224" s="693"/>
      <c r="K1224" s="693"/>
      <c r="L1224" s="693"/>
      <c r="M1224" s="693"/>
      <c r="N1224" s="693"/>
      <c r="O1224" s="693"/>
      <c r="P1224" s="693"/>
      <c r="Q1224" s="693"/>
    </row>
    <row r="1225" spans="1:17" ht="13.5">
      <c r="A1225" s="693"/>
      <c r="B1225" s="693"/>
      <c r="C1225" s="693"/>
      <c r="D1225" s="693"/>
      <c r="E1225" s="693"/>
      <c r="F1225" s="693"/>
      <c r="G1225" s="693"/>
      <c r="H1225" s="693"/>
      <c r="I1225" s="693"/>
      <c r="J1225" s="693"/>
      <c r="K1225" s="693"/>
      <c r="L1225" s="693"/>
      <c r="M1225" s="693"/>
      <c r="N1225" s="693"/>
      <c r="O1225" s="693"/>
      <c r="P1225" s="693"/>
      <c r="Q1225" s="693"/>
    </row>
    <row r="1226" spans="1:17" ht="13.5">
      <c r="A1226" s="693"/>
      <c r="B1226" s="693"/>
      <c r="C1226" s="693"/>
      <c r="D1226" s="693"/>
      <c r="E1226" s="693"/>
      <c r="F1226" s="693"/>
      <c r="G1226" s="693"/>
      <c r="H1226" s="693"/>
      <c r="I1226" s="693"/>
      <c r="J1226" s="693"/>
      <c r="K1226" s="693"/>
      <c r="L1226" s="693"/>
      <c r="M1226" s="693"/>
      <c r="N1226" s="693"/>
      <c r="O1226" s="693"/>
      <c r="P1226" s="693"/>
      <c r="Q1226" s="693"/>
    </row>
    <row r="1227" spans="1:17" ht="13.5">
      <c r="A1227" s="693"/>
      <c r="B1227" s="693"/>
      <c r="C1227" s="693"/>
      <c r="D1227" s="693"/>
      <c r="E1227" s="693"/>
      <c r="F1227" s="693"/>
      <c r="G1227" s="693"/>
      <c r="H1227" s="693"/>
      <c r="I1227" s="693"/>
      <c r="J1227" s="693"/>
      <c r="K1227" s="693"/>
      <c r="L1227" s="693"/>
      <c r="M1227" s="693"/>
      <c r="N1227" s="693"/>
      <c r="O1227" s="693"/>
      <c r="P1227" s="693"/>
      <c r="Q1227" s="693"/>
    </row>
    <row r="1228" spans="1:17" ht="13.5">
      <c r="A1228" s="693"/>
      <c r="B1228" s="693"/>
      <c r="C1228" s="693"/>
      <c r="D1228" s="693"/>
      <c r="E1228" s="693"/>
      <c r="F1228" s="693"/>
      <c r="G1228" s="693"/>
      <c r="H1228" s="693"/>
      <c r="I1228" s="693"/>
      <c r="J1228" s="693"/>
      <c r="K1228" s="693"/>
      <c r="L1228" s="693"/>
      <c r="M1228" s="693"/>
      <c r="N1228" s="693"/>
      <c r="O1228" s="693"/>
      <c r="P1228" s="693"/>
      <c r="Q1228" s="693"/>
    </row>
    <row r="1229" spans="1:17" ht="13.5">
      <c r="A1229" s="693"/>
      <c r="B1229" s="693"/>
      <c r="C1229" s="693"/>
      <c r="D1229" s="693"/>
      <c r="E1229" s="693"/>
      <c r="F1229" s="693"/>
      <c r="G1229" s="693"/>
      <c r="H1229" s="693"/>
      <c r="I1229" s="693"/>
      <c r="J1229" s="693"/>
      <c r="K1229" s="693"/>
      <c r="L1229" s="693"/>
      <c r="M1229" s="693"/>
      <c r="N1229" s="693"/>
      <c r="O1229" s="693"/>
      <c r="P1229" s="693"/>
      <c r="Q1229" s="693"/>
    </row>
    <row r="1230" spans="1:17" ht="13.5">
      <c r="A1230" s="693"/>
      <c r="B1230" s="693"/>
      <c r="C1230" s="693"/>
      <c r="D1230" s="693"/>
      <c r="E1230" s="693"/>
      <c r="F1230" s="693"/>
      <c r="G1230" s="693"/>
      <c r="H1230" s="693"/>
      <c r="I1230" s="693"/>
      <c r="J1230" s="693"/>
      <c r="K1230" s="693"/>
      <c r="L1230" s="693"/>
      <c r="M1230" s="693"/>
      <c r="N1230" s="693"/>
      <c r="O1230" s="693"/>
      <c r="P1230" s="693"/>
      <c r="Q1230" s="693"/>
    </row>
    <row r="1231" spans="1:17" ht="13.5">
      <c r="A1231" s="693"/>
      <c r="B1231" s="693"/>
      <c r="C1231" s="693"/>
      <c r="D1231" s="693"/>
      <c r="E1231" s="693"/>
      <c r="F1231" s="693"/>
      <c r="G1231" s="693"/>
      <c r="H1231" s="693"/>
      <c r="I1231" s="693"/>
      <c r="J1231" s="693"/>
      <c r="K1231" s="693"/>
      <c r="L1231" s="693"/>
      <c r="M1231" s="693"/>
      <c r="N1231" s="693"/>
      <c r="O1231" s="693"/>
      <c r="P1231" s="693"/>
      <c r="Q1231" s="693"/>
    </row>
    <row r="1232" spans="1:17" ht="13.5">
      <c r="A1232" s="693"/>
      <c r="B1232" s="693"/>
      <c r="C1232" s="693"/>
      <c r="D1232" s="693"/>
      <c r="E1232" s="693"/>
      <c r="F1232" s="693"/>
      <c r="G1232" s="693"/>
      <c r="H1232" s="693"/>
      <c r="I1232" s="693"/>
      <c r="J1232" s="693"/>
      <c r="K1232" s="693"/>
      <c r="L1232" s="693"/>
      <c r="M1232" s="693"/>
      <c r="N1232" s="693"/>
      <c r="O1232" s="693"/>
      <c r="P1232" s="693"/>
      <c r="Q1232" s="693"/>
    </row>
    <row r="1233" spans="1:17" ht="13.5">
      <c r="A1233" s="693"/>
      <c r="B1233" s="693"/>
      <c r="C1233" s="693"/>
      <c r="D1233" s="693"/>
      <c r="E1233" s="693"/>
      <c r="F1233" s="693"/>
      <c r="G1233" s="693"/>
      <c r="H1233" s="693"/>
      <c r="I1233" s="693"/>
      <c r="J1233" s="693"/>
      <c r="K1233" s="693"/>
      <c r="L1233" s="693"/>
      <c r="M1233" s="693"/>
      <c r="N1233" s="693"/>
      <c r="O1233" s="693"/>
      <c r="P1233" s="693"/>
      <c r="Q1233" s="693"/>
    </row>
    <row r="1234" spans="1:17" ht="13.5">
      <c r="A1234" s="693"/>
      <c r="B1234" s="693"/>
      <c r="C1234" s="693"/>
      <c r="D1234" s="693"/>
      <c r="E1234" s="693"/>
      <c r="F1234" s="693"/>
      <c r="G1234" s="693"/>
      <c r="H1234" s="693"/>
      <c r="I1234" s="693"/>
      <c r="J1234" s="693"/>
      <c r="K1234" s="693"/>
      <c r="L1234" s="693"/>
      <c r="M1234" s="693"/>
      <c r="N1234" s="693"/>
      <c r="O1234" s="693"/>
      <c r="P1234" s="693"/>
      <c r="Q1234" s="693"/>
    </row>
    <row r="1235" spans="1:17" ht="13.5">
      <c r="A1235" s="693"/>
      <c r="B1235" s="693"/>
      <c r="C1235" s="693"/>
      <c r="D1235" s="693"/>
      <c r="E1235" s="693"/>
      <c r="F1235" s="693"/>
      <c r="G1235" s="693"/>
      <c r="H1235" s="693"/>
      <c r="I1235" s="693"/>
      <c r="J1235" s="693"/>
      <c r="K1235" s="693"/>
      <c r="L1235" s="693"/>
      <c r="M1235" s="693"/>
      <c r="N1235" s="693"/>
      <c r="O1235" s="693"/>
      <c r="P1235" s="693"/>
      <c r="Q1235" s="693"/>
    </row>
    <row r="1236" spans="1:17" ht="13.5">
      <c r="A1236" s="693"/>
      <c r="B1236" s="693"/>
      <c r="C1236" s="693"/>
      <c r="D1236" s="693"/>
      <c r="E1236" s="693"/>
      <c r="F1236" s="693"/>
      <c r="G1236" s="693"/>
      <c r="H1236" s="693"/>
      <c r="I1236" s="693"/>
      <c r="J1236" s="693"/>
      <c r="K1236" s="693"/>
      <c r="L1236" s="693"/>
      <c r="M1236" s="693"/>
      <c r="N1236" s="693"/>
      <c r="O1236" s="693"/>
      <c r="P1236" s="693"/>
      <c r="Q1236" s="693"/>
    </row>
    <row r="1237" spans="1:17" ht="13.5">
      <c r="A1237" s="693"/>
      <c r="B1237" s="693"/>
      <c r="C1237" s="693"/>
      <c r="D1237" s="693"/>
      <c r="E1237" s="693"/>
      <c r="F1237" s="693"/>
      <c r="G1237" s="693"/>
      <c r="H1237" s="693"/>
      <c r="I1237" s="693"/>
      <c r="J1237" s="693"/>
      <c r="K1237" s="693"/>
      <c r="L1237" s="693"/>
      <c r="M1237" s="693"/>
      <c r="N1237" s="693"/>
      <c r="O1237" s="693"/>
      <c r="P1237" s="693"/>
      <c r="Q1237" s="693"/>
    </row>
    <row r="1238" spans="1:17" ht="13.5">
      <c r="A1238" s="693"/>
      <c r="B1238" s="693"/>
      <c r="C1238" s="693"/>
      <c r="D1238" s="693"/>
      <c r="E1238" s="693"/>
      <c r="F1238" s="693"/>
      <c r="G1238" s="693"/>
      <c r="H1238" s="693"/>
      <c r="I1238" s="693"/>
      <c r="J1238" s="693"/>
      <c r="K1238" s="693"/>
      <c r="L1238" s="693"/>
      <c r="M1238" s="693"/>
      <c r="N1238" s="693"/>
      <c r="O1238" s="693"/>
      <c r="P1238" s="693"/>
      <c r="Q1238" s="693"/>
    </row>
    <row r="1239" spans="1:17" ht="13.5">
      <c r="A1239" s="693"/>
      <c r="B1239" s="693"/>
      <c r="C1239" s="693"/>
      <c r="D1239" s="693"/>
      <c r="E1239" s="693"/>
      <c r="F1239" s="693"/>
      <c r="G1239" s="693"/>
      <c r="H1239" s="693"/>
      <c r="I1239" s="693"/>
      <c r="J1239" s="693"/>
      <c r="K1239" s="693"/>
      <c r="L1239" s="693"/>
      <c r="M1239" s="693"/>
      <c r="N1239" s="693"/>
      <c r="O1239" s="693"/>
      <c r="P1239" s="693"/>
      <c r="Q1239" s="693"/>
    </row>
    <row r="1240" spans="1:17" ht="13.5">
      <c r="A1240" s="693"/>
      <c r="B1240" s="693"/>
      <c r="C1240" s="693"/>
      <c r="D1240" s="693"/>
      <c r="E1240" s="693"/>
      <c r="F1240" s="693"/>
      <c r="G1240" s="693"/>
      <c r="H1240" s="693"/>
      <c r="I1240" s="693"/>
      <c r="J1240" s="693"/>
      <c r="K1240" s="693"/>
      <c r="L1240" s="693"/>
      <c r="M1240" s="693"/>
      <c r="N1240" s="693"/>
      <c r="O1240" s="693"/>
      <c r="P1240" s="693"/>
      <c r="Q1240" s="693"/>
    </row>
    <row r="1241" spans="1:17" ht="13.5">
      <c r="A1241" s="693"/>
      <c r="B1241" s="693"/>
      <c r="C1241" s="693"/>
      <c r="D1241" s="693"/>
      <c r="E1241" s="693"/>
      <c r="F1241" s="693"/>
      <c r="G1241" s="693"/>
      <c r="H1241" s="693"/>
      <c r="I1241" s="693"/>
      <c r="J1241" s="693"/>
      <c r="K1241" s="693"/>
      <c r="L1241" s="693"/>
      <c r="M1241" s="693"/>
      <c r="N1241" s="693"/>
      <c r="O1241" s="693"/>
      <c r="P1241" s="693"/>
      <c r="Q1241" s="693"/>
    </row>
    <row r="1242" spans="1:17" ht="13.5">
      <c r="A1242" s="693"/>
      <c r="B1242" s="693"/>
      <c r="C1242" s="693"/>
      <c r="D1242" s="693"/>
      <c r="E1242" s="693"/>
      <c r="F1242" s="693"/>
      <c r="G1242" s="693"/>
      <c r="H1242" s="693"/>
      <c r="I1242" s="693"/>
      <c r="J1242" s="693"/>
      <c r="K1242" s="693"/>
      <c r="L1242" s="693"/>
      <c r="M1242" s="693"/>
      <c r="N1242" s="693"/>
      <c r="O1242" s="693"/>
      <c r="P1242" s="693"/>
      <c r="Q1242" s="693"/>
    </row>
    <row r="1243" spans="1:17" ht="13.5">
      <c r="A1243" s="693"/>
      <c r="B1243" s="693"/>
      <c r="C1243" s="693"/>
      <c r="D1243" s="693"/>
      <c r="E1243" s="693"/>
      <c r="F1243" s="693"/>
      <c r="G1243" s="693"/>
      <c r="H1243" s="693"/>
      <c r="I1243" s="693"/>
      <c r="J1243" s="693"/>
      <c r="K1243" s="693"/>
      <c r="L1243" s="693"/>
      <c r="M1243" s="693"/>
      <c r="N1243" s="693"/>
      <c r="O1243" s="693"/>
      <c r="P1243" s="693"/>
      <c r="Q1243" s="693"/>
    </row>
    <row r="1244" spans="1:17" ht="13.5">
      <c r="A1244" s="693"/>
      <c r="B1244" s="693"/>
      <c r="C1244" s="693"/>
      <c r="D1244" s="693"/>
      <c r="E1244" s="693"/>
      <c r="F1244" s="693"/>
      <c r="G1244" s="693"/>
      <c r="H1244" s="693"/>
      <c r="I1244" s="693"/>
      <c r="J1244" s="693"/>
      <c r="K1244" s="693"/>
      <c r="L1244" s="693"/>
      <c r="M1244" s="693"/>
      <c r="N1244" s="693"/>
      <c r="O1244" s="693"/>
      <c r="P1244" s="693"/>
      <c r="Q1244" s="693"/>
    </row>
    <row r="1245" spans="1:17" ht="13.5">
      <c r="A1245" s="693"/>
      <c r="B1245" s="693"/>
      <c r="C1245" s="693"/>
      <c r="D1245" s="693"/>
      <c r="E1245" s="693"/>
      <c r="F1245" s="693"/>
      <c r="G1245" s="693"/>
      <c r="H1245" s="693"/>
      <c r="I1245" s="693"/>
      <c r="J1245" s="693"/>
      <c r="K1245" s="693"/>
      <c r="L1245" s="693"/>
      <c r="M1245" s="693"/>
      <c r="N1245" s="693"/>
      <c r="O1245" s="693"/>
      <c r="P1245" s="693"/>
      <c r="Q1245" s="693"/>
    </row>
    <row r="1246" spans="1:17" ht="13.5">
      <c r="A1246" s="693"/>
      <c r="B1246" s="693"/>
      <c r="C1246" s="693"/>
      <c r="D1246" s="693"/>
      <c r="E1246" s="693"/>
      <c r="F1246" s="693"/>
      <c r="G1246" s="693"/>
      <c r="H1246" s="693"/>
      <c r="I1246" s="693"/>
      <c r="J1246" s="693"/>
      <c r="K1246" s="693"/>
      <c r="L1246" s="693"/>
      <c r="M1246" s="693"/>
      <c r="N1246" s="693"/>
      <c r="O1246" s="693"/>
      <c r="P1246" s="693"/>
      <c r="Q1246" s="693"/>
    </row>
    <row r="1247" spans="1:17" ht="13.5">
      <c r="A1247" s="693"/>
      <c r="B1247" s="693"/>
      <c r="C1247" s="693"/>
      <c r="D1247" s="693"/>
      <c r="E1247" s="693"/>
      <c r="F1247" s="693"/>
      <c r="G1247" s="693"/>
      <c r="H1247" s="693"/>
      <c r="I1247" s="693"/>
      <c r="J1247" s="693"/>
      <c r="K1247" s="693"/>
      <c r="L1247" s="693"/>
      <c r="M1247" s="693"/>
      <c r="N1247" s="693"/>
      <c r="O1247" s="693"/>
      <c r="P1247" s="693"/>
      <c r="Q1247" s="693"/>
    </row>
    <row r="1248" spans="1:17" ht="13.5">
      <c r="A1248" s="693"/>
      <c r="B1248" s="693"/>
      <c r="C1248" s="693"/>
      <c r="D1248" s="693"/>
      <c r="E1248" s="693"/>
      <c r="F1248" s="693"/>
      <c r="G1248" s="693"/>
      <c r="H1248" s="693"/>
      <c r="I1248" s="693"/>
      <c r="J1248" s="693"/>
      <c r="K1248" s="693"/>
      <c r="L1248" s="693"/>
      <c r="M1248" s="693"/>
      <c r="N1248" s="693"/>
      <c r="O1248" s="693"/>
      <c r="P1248" s="693"/>
      <c r="Q1248" s="693"/>
    </row>
    <row r="1249" spans="1:17" ht="13.5">
      <c r="A1249" s="693"/>
      <c r="B1249" s="693"/>
      <c r="C1249" s="693"/>
      <c r="D1249" s="693"/>
      <c r="E1249" s="693"/>
      <c r="F1249" s="693"/>
      <c r="G1249" s="693"/>
      <c r="H1249" s="693"/>
      <c r="I1249" s="693"/>
      <c r="J1249" s="693"/>
      <c r="K1249" s="693"/>
      <c r="L1249" s="693"/>
      <c r="M1249" s="693"/>
      <c r="N1249" s="693"/>
      <c r="O1249" s="693"/>
      <c r="P1249" s="693"/>
      <c r="Q1249" s="693"/>
    </row>
    <row r="1250" spans="1:17" ht="13.5">
      <c r="A1250" s="693"/>
      <c r="B1250" s="693"/>
      <c r="C1250" s="693"/>
      <c r="D1250" s="693"/>
      <c r="E1250" s="693"/>
      <c r="F1250" s="693"/>
      <c r="G1250" s="693"/>
      <c r="H1250" s="693"/>
      <c r="I1250" s="693"/>
      <c r="J1250" s="693"/>
      <c r="K1250" s="693"/>
      <c r="L1250" s="693"/>
      <c r="M1250" s="693"/>
      <c r="N1250" s="693"/>
      <c r="O1250" s="693"/>
      <c r="P1250" s="693"/>
      <c r="Q1250" s="693"/>
    </row>
    <row r="1251" spans="1:17" ht="13.5">
      <c r="A1251" s="693"/>
      <c r="B1251" s="693"/>
      <c r="C1251" s="693"/>
      <c r="D1251" s="693"/>
      <c r="E1251" s="693"/>
      <c r="F1251" s="693"/>
      <c r="G1251" s="693"/>
      <c r="H1251" s="693"/>
      <c r="I1251" s="693"/>
      <c r="J1251" s="693"/>
      <c r="K1251" s="693"/>
      <c r="L1251" s="693"/>
      <c r="M1251" s="693"/>
      <c r="N1251" s="693"/>
      <c r="O1251" s="693"/>
      <c r="P1251" s="693"/>
      <c r="Q1251" s="693"/>
    </row>
    <row r="1252" spans="1:17" ht="13.5">
      <c r="A1252" s="693"/>
      <c r="B1252" s="693"/>
      <c r="C1252" s="693"/>
      <c r="D1252" s="693"/>
      <c r="E1252" s="693"/>
      <c r="F1252" s="693"/>
      <c r="G1252" s="693"/>
      <c r="H1252" s="693"/>
      <c r="I1252" s="693"/>
      <c r="J1252" s="693"/>
      <c r="K1252" s="693"/>
      <c r="L1252" s="693"/>
      <c r="M1252" s="693"/>
      <c r="N1252" s="693"/>
      <c r="O1252" s="693"/>
      <c r="P1252" s="693"/>
      <c r="Q1252" s="693"/>
    </row>
    <row r="1253" spans="1:17" ht="13.5">
      <c r="A1253" s="693"/>
      <c r="B1253" s="693"/>
      <c r="C1253" s="693"/>
      <c r="D1253" s="693"/>
      <c r="E1253" s="693"/>
      <c r="F1253" s="693"/>
      <c r="G1253" s="693"/>
      <c r="H1253" s="693"/>
      <c r="I1253" s="693"/>
      <c r="J1253" s="693"/>
      <c r="K1253" s="693"/>
      <c r="L1253" s="693"/>
      <c r="M1253" s="693"/>
      <c r="N1253" s="693"/>
      <c r="O1253" s="693"/>
      <c r="P1253" s="693"/>
      <c r="Q1253" s="693"/>
    </row>
    <row r="1254" spans="1:17" ht="13.5">
      <c r="A1254" s="693"/>
      <c r="B1254" s="693"/>
      <c r="C1254" s="693"/>
      <c r="D1254" s="693"/>
      <c r="E1254" s="693"/>
      <c r="F1254" s="693"/>
      <c r="G1254" s="693"/>
      <c r="H1254" s="693"/>
      <c r="I1254" s="693"/>
      <c r="J1254" s="693"/>
      <c r="K1254" s="693"/>
      <c r="L1254" s="693"/>
      <c r="M1254" s="693"/>
      <c r="N1254" s="693"/>
      <c r="O1254" s="693"/>
      <c r="P1254" s="693"/>
      <c r="Q1254" s="693"/>
    </row>
    <row r="1255" spans="1:17" ht="13.5">
      <c r="A1255" s="693"/>
      <c r="B1255" s="693"/>
      <c r="C1255" s="693"/>
      <c r="D1255" s="693"/>
      <c r="E1255" s="693"/>
      <c r="F1255" s="693"/>
      <c r="G1255" s="693"/>
      <c r="H1255" s="693"/>
      <c r="I1255" s="693"/>
      <c r="J1255" s="693"/>
      <c r="K1255" s="693"/>
      <c r="L1255" s="693"/>
      <c r="M1255" s="693"/>
      <c r="N1255" s="693"/>
      <c r="O1255" s="693"/>
      <c r="P1255" s="693"/>
      <c r="Q1255" s="693"/>
    </row>
    <row r="1256" spans="1:17" ht="13.5">
      <c r="A1256" s="693"/>
      <c r="B1256" s="693"/>
      <c r="C1256" s="693"/>
      <c r="D1256" s="693"/>
      <c r="E1256" s="693"/>
      <c r="F1256" s="693"/>
      <c r="G1256" s="693"/>
      <c r="H1256" s="693"/>
      <c r="I1256" s="693"/>
      <c r="J1256" s="693"/>
      <c r="K1256" s="693"/>
      <c r="L1256" s="693"/>
      <c r="M1256" s="693"/>
      <c r="N1256" s="693"/>
      <c r="O1256" s="693"/>
      <c r="P1256" s="693"/>
      <c r="Q1256" s="693"/>
    </row>
    <row r="1257" spans="1:17" ht="13.5">
      <c r="A1257" s="693"/>
      <c r="B1257" s="693"/>
      <c r="C1257" s="693"/>
      <c r="D1257" s="693"/>
      <c r="E1257" s="693"/>
      <c r="F1257" s="693"/>
      <c r="G1257" s="693"/>
      <c r="H1257" s="693"/>
      <c r="I1257" s="693"/>
      <c r="J1257" s="693"/>
      <c r="K1257" s="693"/>
      <c r="L1257" s="693"/>
      <c r="M1257" s="693"/>
      <c r="N1257" s="693"/>
      <c r="O1257" s="693"/>
      <c r="P1257" s="693"/>
      <c r="Q1257" s="693"/>
    </row>
    <row r="1258" spans="1:17" ht="13.5">
      <c r="A1258" s="693"/>
      <c r="B1258" s="693"/>
      <c r="C1258" s="693"/>
      <c r="D1258" s="693"/>
      <c r="E1258" s="693"/>
      <c r="F1258" s="693"/>
      <c r="G1258" s="693"/>
      <c r="H1258" s="693"/>
      <c r="I1258" s="693"/>
      <c r="J1258" s="693"/>
      <c r="K1258" s="693"/>
      <c r="L1258" s="693"/>
      <c r="M1258" s="693"/>
      <c r="N1258" s="693"/>
      <c r="O1258" s="693"/>
      <c r="P1258" s="693"/>
      <c r="Q1258" s="693"/>
    </row>
    <row r="1259" spans="1:17" ht="13.5">
      <c r="A1259" s="693"/>
      <c r="B1259" s="693"/>
      <c r="C1259" s="693"/>
      <c r="D1259" s="693"/>
      <c r="E1259" s="693"/>
      <c r="F1259" s="693"/>
      <c r="G1259" s="693"/>
      <c r="H1259" s="693"/>
      <c r="I1259" s="693"/>
      <c r="J1259" s="693"/>
      <c r="K1259" s="693"/>
      <c r="L1259" s="693"/>
      <c r="M1259" s="693"/>
      <c r="N1259" s="693"/>
      <c r="O1259" s="693"/>
      <c r="P1259" s="693"/>
      <c r="Q1259" s="693"/>
    </row>
    <row r="1260" spans="1:17" ht="13.5">
      <c r="A1260" s="693"/>
      <c r="B1260" s="693"/>
      <c r="C1260" s="693"/>
      <c r="D1260" s="693"/>
      <c r="E1260" s="693"/>
      <c r="F1260" s="693"/>
      <c r="G1260" s="693"/>
      <c r="H1260" s="693"/>
      <c r="I1260" s="693"/>
      <c r="J1260" s="693"/>
      <c r="K1260" s="693"/>
      <c r="L1260" s="693"/>
      <c r="M1260" s="693"/>
      <c r="N1260" s="693"/>
      <c r="O1260" s="693"/>
      <c r="P1260" s="693"/>
      <c r="Q1260" s="693"/>
    </row>
    <row r="1261" spans="1:17" ht="13.5">
      <c r="A1261" s="693"/>
      <c r="B1261" s="693"/>
      <c r="C1261" s="693"/>
      <c r="D1261" s="693"/>
      <c r="E1261" s="693"/>
      <c r="F1261" s="693"/>
      <c r="G1261" s="693"/>
      <c r="H1261" s="693"/>
      <c r="I1261" s="693"/>
      <c r="J1261" s="693"/>
      <c r="K1261" s="693"/>
      <c r="L1261" s="693"/>
      <c r="M1261" s="693"/>
      <c r="N1261" s="693"/>
      <c r="O1261" s="693"/>
      <c r="P1261" s="693"/>
      <c r="Q1261" s="693"/>
    </row>
    <row r="1262" spans="1:17" ht="13.5">
      <c r="A1262" s="693"/>
      <c r="B1262" s="693"/>
      <c r="C1262" s="693"/>
      <c r="D1262" s="693"/>
      <c r="E1262" s="693"/>
      <c r="F1262" s="693"/>
      <c r="G1262" s="693"/>
      <c r="H1262" s="693"/>
      <c r="I1262" s="693"/>
      <c r="J1262" s="693"/>
      <c r="K1262" s="693"/>
      <c r="L1262" s="693"/>
      <c r="M1262" s="693"/>
      <c r="N1262" s="693"/>
      <c r="O1262" s="693"/>
      <c r="P1262" s="693"/>
      <c r="Q1262" s="693"/>
    </row>
    <row r="1263" spans="1:17" ht="13.5">
      <c r="A1263" s="693"/>
      <c r="B1263" s="693"/>
      <c r="C1263" s="693"/>
      <c r="D1263" s="693"/>
      <c r="E1263" s="693"/>
      <c r="F1263" s="693"/>
      <c r="G1263" s="693"/>
      <c r="H1263" s="693"/>
      <c r="I1263" s="693"/>
      <c r="J1263" s="693"/>
      <c r="K1263" s="693"/>
      <c r="L1263" s="693"/>
      <c r="M1263" s="693"/>
      <c r="N1263" s="693"/>
      <c r="O1263" s="693"/>
      <c r="P1263" s="693"/>
      <c r="Q1263" s="693"/>
    </row>
    <row r="1264" spans="1:17" ht="13.5">
      <c r="A1264" s="693"/>
      <c r="B1264" s="693"/>
      <c r="C1264" s="693"/>
      <c r="D1264" s="693"/>
      <c r="E1264" s="693"/>
      <c r="F1264" s="693"/>
      <c r="G1264" s="693"/>
      <c r="H1264" s="693"/>
      <c r="I1264" s="693"/>
      <c r="J1264" s="693"/>
      <c r="K1264" s="693"/>
      <c r="L1264" s="693"/>
      <c r="M1264" s="693"/>
      <c r="N1264" s="693"/>
      <c r="O1264" s="693"/>
      <c r="P1264" s="693"/>
      <c r="Q1264" s="693"/>
    </row>
    <row r="1265" spans="1:17" ht="13.5">
      <c r="A1265" s="693"/>
      <c r="B1265" s="693"/>
      <c r="C1265" s="693"/>
      <c r="D1265" s="693"/>
      <c r="E1265" s="693"/>
      <c r="F1265" s="693"/>
      <c r="G1265" s="693"/>
      <c r="H1265" s="693"/>
      <c r="I1265" s="693"/>
      <c r="J1265" s="693"/>
      <c r="K1265" s="693"/>
      <c r="L1265" s="693"/>
      <c r="M1265" s="693"/>
      <c r="N1265" s="693"/>
      <c r="O1265" s="693"/>
      <c r="P1265" s="693"/>
      <c r="Q1265" s="693"/>
    </row>
    <row r="1266" spans="1:17" ht="13.5">
      <c r="A1266" s="693"/>
      <c r="B1266" s="693"/>
      <c r="C1266" s="693"/>
      <c r="D1266" s="693"/>
      <c r="E1266" s="693"/>
      <c r="F1266" s="693"/>
      <c r="G1266" s="693"/>
      <c r="H1266" s="693"/>
      <c r="I1266" s="693"/>
      <c r="J1266" s="693"/>
      <c r="K1266" s="693"/>
      <c r="L1266" s="693"/>
      <c r="M1266" s="693"/>
      <c r="N1266" s="693"/>
      <c r="O1266" s="693"/>
      <c r="P1266" s="693"/>
      <c r="Q1266" s="693"/>
    </row>
    <row r="1267" spans="1:17" ht="13.5">
      <c r="A1267" s="693"/>
      <c r="B1267" s="693"/>
      <c r="C1267" s="693"/>
      <c r="D1267" s="693"/>
      <c r="E1267" s="693"/>
      <c r="F1267" s="693"/>
      <c r="G1267" s="693"/>
      <c r="H1267" s="693"/>
      <c r="I1267" s="693"/>
      <c r="J1267" s="693"/>
      <c r="K1267" s="693"/>
      <c r="L1267" s="693"/>
      <c r="M1267" s="693"/>
      <c r="N1267" s="693"/>
      <c r="O1267" s="693"/>
      <c r="P1267" s="693"/>
      <c r="Q1267" s="693"/>
    </row>
    <row r="1268" spans="1:17" ht="13.5">
      <c r="A1268" s="693"/>
      <c r="B1268" s="693"/>
      <c r="C1268" s="693"/>
      <c r="D1268" s="693"/>
      <c r="E1268" s="693"/>
      <c r="F1268" s="693"/>
      <c r="G1268" s="693"/>
      <c r="H1268" s="693"/>
      <c r="I1268" s="693"/>
      <c r="J1268" s="693"/>
      <c r="K1268" s="693"/>
      <c r="L1268" s="693"/>
      <c r="M1268" s="693"/>
      <c r="N1268" s="693"/>
      <c r="O1268" s="693"/>
      <c r="P1268" s="693"/>
      <c r="Q1268" s="693"/>
    </row>
    <row r="1269" spans="1:17" ht="13.5">
      <c r="A1269" s="693"/>
      <c r="B1269" s="693"/>
      <c r="C1269" s="693"/>
      <c r="D1269" s="693"/>
      <c r="E1269" s="693"/>
      <c r="F1269" s="693"/>
      <c r="G1269" s="693"/>
      <c r="H1269" s="693"/>
      <c r="I1269" s="693"/>
      <c r="J1269" s="693"/>
      <c r="K1269" s="693"/>
      <c r="L1269" s="693"/>
      <c r="M1269" s="693"/>
      <c r="N1269" s="693"/>
      <c r="O1269" s="693"/>
      <c r="P1269" s="693"/>
      <c r="Q1269" s="693"/>
    </row>
    <row r="1270" spans="1:17" ht="13.5">
      <c r="A1270" s="693"/>
      <c r="B1270" s="693"/>
      <c r="C1270" s="693"/>
      <c r="D1270" s="693"/>
      <c r="E1270" s="693"/>
      <c r="F1270" s="693"/>
      <c r="G1270" s="693"/>
      <c r="H1270" s="693"/>
      <c r="I1270" s="693"/>
      <c r="J1270" s="693"/>
      <c r="K1270" s="693"/>
      <c r="L1270" s="693"/>
      <c r="M1270" s="693"/>
      <c r="N1270" s="693"/>
      <c r="O1270" s="693"/>
      <c r="P1270" s="693"/>
      <c r="Q1270" s="693"/>
    </row>
    <row r="1271" spans="1:17" ht="13.5">
      <c r="A1271" s="693"/>
      <c r="B1271" s="693"/>
      <c r="C1271" s="693"/>
      <c r="D1271" s="693"/>
      <c r="E1271" s="693"/>
      <c r="F1271" s="693"/>
      <c r="G1271" s="693"/>
      <c r="H1271" s="693"/>
      <c r="I1271" s="693"/>
      <c r="J1271" s="693"/>
      <c r="K1271" s="693"/>
      <c r="L1271" s="693"/>
      <c r="M1271" s="693"/>
      <c r="N1271" s="693"/>
      <c r="O1271" s="693"/>
      <c r="P1271" s="693"/>
      <c r="Q1271" s="693"/>
    </row>
    <row r="1272" spans="1:17" ht="13.5">
      <c r="A1272" s="693"/>
      <c r="B1272" s="693"/>
      <c r="C1272" s="693"/>
      <c r="D1272" s="693"/>
      <c r="E1272" s="693"/>
      <c r="F1272" s="693"/>
      <c r="G1272" s="693"/>
      <c r="H1272" s="693"/>
      <c r="I1272" s="693"/>
      <c r="J1272" s="693"/>
      <c r="K1272" s="693"/>
      <c r="L1272" s="693"/>
      <c r="M1272" s="693"/>
      <c r="N1272" s="693"/>
      <c r="O1272" s="693"/>
      <c r="P1272" s="693"/>
      <c r="Q1272" s="693"/>
    </row>
    <row r="1273" spans="1:17" ht="13.5">
      <c r="A1273" s="693"/>
      <c r="B1273" s="693"/>
      <c r="C1273" s="693"/>
      <c r="D1273" s="693"/>
      <c r="E1273" s="693"/>
      <c r="F1273" s="693"/>
      <c r="G1273" s="693"/>
      <c r="H1273" s="693"/>
      <c r="I1273" s="693"/>
      <c r="J1273" s="693"/>
      <c r="K1273" s="693"/>
      <c r="L1273" s="693"/>
      <c r="M1273" s="693"/>
      <c r="N1273" s="693"/>
      <c r="O1273" s="693"/>
      <c r="P1273" s="693"/>
      <c r="Q1273" s="693"/>
    </row>
    <row r="1274" spans="1:17" ht="13.5">
      <c r="A1274" s="693"/>
      <c r="B1274" s="693"/>
      <c r="C1274" s="693"/>
      <c r="D1274" s="693"/>
      <c r="E1274" s="693"/>
      <c r="F1274" s="693"/>
      <c r="G1274" s="693"/>
      <c r="H1274" s="693"/>
      <c r="I1274" s="693"/>
      <c r="J1274" s="693"/>
      <c r="K1274" s="693"/>
      <c r="L1274" s="693"/>
      <c r="M1274" s="693"/>
      <c r="N1274" s="693"/>
      <c r="O1274" s="693"/>
      <c r="P1274" s="693"/>
      <c r="Q1274" s="693"/>
    </row>
    <row r="1275" spans="1:17" ht="13.5">
      <c r="A1275" s="693"/>
      <c r="B1275" s="693"/>
      <c r="C1275" s="693"/>
      <c r="D1275" s="693"/>
      <c r="E1275" s="693"/>
      <c r="F1275" s="693"/>
      <c r="G1275" s="693"/>
      <c r="H1275" s="693"/>
      <c r="I1275" s="693"/>
      <c r="J1275" s="693"/>
      <c r="K1275" s="693"/>
      <c r="L1275" s="693"/>
      <c r="M1275" s="693"/>
      <c r="N1275" s="693"/>
      <c r="O1275" s="693"/>
      <c r="P1275" s="693"/>
      <c r="Q1275" s="693"/>
    </row>
    <row r="1276" spans="1:17" ht="13.5">
      <c r="A1276" s="693"/>
      <c r="B1276" s="693"/>
      <c r="C1276" s="693"/>
      <c r="D1276" s="693"/>
      <c r="E1276" s="693"/>
      <c r="F1276" s="693"/>
      <c r="G1276" s="693"/>
      <c r="H1276" s="693"/>
      <c r="I1276" s="693"/>
      <c r="J1276" s="693"/>
      <c r="K1276" s="693"/>
      <c r="L1276" s="693"/>
      <c r="M1276" s="693"/>
      <c r="N1276" s="693"/>
      <c r="O1276" s="693"/>
      <c r="P1276" s="693"/>
      <c r="Q1276" s="693"/>
    </row>
    <row r="1277" spans="1:17" ht="13.5">
      <c r="A1277" s="693"/>
      <c r="B1277" s="693"/>
      <c r="C1277" s="693"/>
      <c r="D1277" s="693"/>
      <c r="E1277" s="693"/>
      <c r="F1277" s="693"/>
      <c r="G1277" s="693"/>
      <c r="H1277" s="693"/>
      <c r="I1277" s="693"/>
      <c r="J1277" s="693"/>
      <c r="K1277" s="693"/>
      <c r="L1277" s="693"/>
      <c r="M1277" s="693"/>
      <c r="N1277" s="693"/>
      <c r="O1277" s="693"/>
      <c r="P1277" s="693"/>
      <c r="Q1277" s="693"/>
    </row>
    <row r="1278" spans="1:17" ht="13.5">
      <c r="A1278" s="693"/>
      <c r="B1278" s="693"/>
      <c r="C1278" s="693"/>
      <c r="D1278" s="693"/>
      <c r="E1278" s="693"/>
      <c r="F1278" s="693"/>
      <c r="G1278" s="693"/>
      <c r="H1278" s="693"/>
      <c r="I1278" s="693"/>
      <c r="J1278" s="693"/>
      <c r="K1278" s="693"/>
      <c r="L1278" s="693"/>
      <c r="M1278" s="693"/>
      <c r="N1278" s="693"/>
      <c r="O1278" s="693"/>
      <c r="P1278" s="693"/>
      <c r="Q1278" s="693"/>
    </row>
    <row r="1279" spans="1:17" ht="13.5">
      <c r="A1279" s="693"/>
      <c r="B1279" s="693"/>
      <c r="C1279" s="693"/>
      <c r="D1279" s="693"/>
      <c r="E1279" s="693"/>
      <c r="F1279" s="693"/>
      <c r="G1279" s="693"/>
      <c r="H1279" s="693"/>
      <c r="I1279" s="693"/>
      <c r="J1279" s="693"/>
      <c r="K1279" s="693"/>
      <c r="L1279" s="693"/>
      <c r="M1279" s="693"/>
      <c r="N1279" s="693"/>
      <c r="O1279" s="693"/>
      <c r="P1279" s="693"/>
      <c r="Q1279" s="693"/>
    </row>
    <row r="1280" spans="1:17" ht="13.5">
      <c r="A1280" s="693"/>
      <c r="B1280" s="693"/>
      <c r="C1280" s="693"/>
      <c r="D1280" s="693"/>
      <c r="E1280" s="693"/>
      <c r="F1280" s="693"/>
      <c r="G1280" s="693"/>
      <c r="H1280" s="693"/>
      <c r="I1280" s="693"/>
      <c r="J1280" s="693"/>
      <c r="K1280" s="693"/>
      <c r="L1280" s="693"/>
      <c r="M1280" s="693"/>
      <c r="N1280" s="693"/>
      <c r="O1280" s="693"/>
      <c r="P1280" s="693"/>
      <c r="Q1280" s="693"/>
    </row>
    <row r="1281" spans="1:17" ht="13.5">
      <c r="A1281" s="693"/>
      <c r="B1281" s="693"/>
      <c r="C1281" s="693"/>
      <c r="D1281" s="693"/>
      <c r="E1281" s="693"/>
      <c r="F1281" s="693"/>
      <c r="G1281" s="693"/>
      <c r="H1281" s="693"/>
      <c r="I1281" s="693"/>
      <c r="J1281" s="693"/>
      <c r="K1281" s="693"/>
      <c r="L1281" s="693"/>
      <c r="M1281" s="693"/>
      <c r="N1281" s="693"/>
      <c r="O1281" s="693"/>
      <c r="P1281" s="693"/>
      <c r="Q1281" s="693"/>
    </row>
    <row r="1282" spans="1:17" ht="13.5">
      <c r="A1282" s="693"/>
      <c r="B1282" s="693"/>
      <c r="C1282" s="693"/>
      <c r="D1282" s="693"/>
      <c r="E1282" s="693"/>
      <c r="F1282" s="693"/>
      <c r="G1282" s="693"/>
      <c r="H1282" s="693"/>
      <c r="I1282" s="693"/>
      <c r="J1282" s="693"/>
      <c r="K1282" s="693"/>
      <c r="L1282" s="693"/>
      <c r="M1282" s="693"/>
      <c r="N1282" s="693"/>
      <c r="O1282" s="693"/>
      <c r="P1282" s="693"/>
      <c r="Q1282" s="693"/>
    </row>
    <row r="1283" spans="1:17" ht="13.5">
      <c r="A1283" s="693"/>
      <c r="B1283" s="693"/>
      <c r="C1283" s="693"/>
      <c r="D1283" s="693"/>
      <c r="E1283" s="693"/>
      <c r="F1283" s="693"/>
      <c r="G1283" s="693"/>
      <c r="H1283" s="693"/>
      <c r="I1283" s="693"/>
      <c r="J1283" s="693"/>
      <c r="K1283" s="693"/>
      <c r="L1283" s="693"/>
      <c r="M1283" s="693"/>
      <c r="N1283" s="693"/>
      <c r="O1283" s="693"/>
      <c r="P1283" s="693"/>
      <c r="Q1283" s="693"/>
    </row>
    <row r="1284" spans="1:17" ht="13.5">
      <c r="A1284" s="693"/>
      <c r="B1284" s="693"/>
      <c r="C1284" s="693"/>
      <c r="D1284" s="693"/>
      <c r="E1284" s="693"/>
      <c r="F1284" s="693"/>
      <c r="G1284" s="693"/>
      <c r="H1284" s="693"/>
      <c r="I1284" s="693"/>
      <c r="J1284" s="693"/>
      <c r="K1284" s="693"/>
      <c r="L1284" s="693"/>
      <c r="M1284" s="693"/>
      <c r="N1284" s="693"/>
      <c r="O1284" s="693"/>
      <c r="P1284" s="693"/>
      <c r="Q1284" s="693"/>
    </row>
    <row r="1285" spans="1:17" ht="13.5">
      <c r="A1285" s="693"/>
      <c r="B1285" s="693"/>
      <c r="C1285" s="693"/>
      <c r="D1285" s="693"/>
      <c r="E1285" s="693"/>
      <c r="F1285" s="693"/>
      <c r="G1285" s="693"/>
      <c r="H1285" s="693"/>
      <c r="I1285" s="693"/>
      <c r="J1285" s="693"/>
      <c r="K1285" s="693"/>
      <c r="L1285" s="693"/>
      <c r="M1285" s="693"/>
      <c r="N1285" s="693"/>
      <c r="O1285" s="693"/>
      <c r="P1285" s="693"/>
      <c r="Q1285" s="693"/>
    </row>
    <row r="1286" spans="1:17" ht="13.5">
      <c r="A1286" s="693"/>
      <c r="B1286" s="693"/>
      <c r="C1286" s="693"/>
      <c r="D1286" s="693"/>
      <c r="E1286" s="693"/>
      <c r="F1286" s="693"/>
      <c r="G1286" s="693"/>
      <c r="H1286" s="693"/>
      <c r="I1286" s="693"/>
      <c r="J1286" s="693"/>
      <c r="K1286" s="693"/>
      <c r="L1286" s="693"/>
      <c r="M1286" s="693"/>
      <c r="N1286" s="693"/>
      <c r="O1286" s="693"/>
      <c r="P1286" s="693"/>
      <c r="Q1286" s="693"/>
    </row>
    <row r="1287" spans="1:17" ht="13.5">
      <c r="A1287" s="693"/>
      <c r="B1287" s="693"/>
      <c r="C1287" s="693"/>
      <c r="D1287" s="693"/>
      <c r="E1287" s="693"/>
      <c r="F1287" s="693"/>
      <c r="G1287" s="693"/>
      <c r="H1287" s="693"/>
      <c r="I1287" s="693"/>
      <c r="J1287" s="693"/>
      <c r="K1287" s="693"/>
      <c r="L1287" s="693"/>
      <c r="M1287" s="693"/>
      <c r="N1287" s="693"/>
      <c r="O1287" s="693"/>
      <c r="P1287" s="693"/>
      <c r="Q1287" s="693"/>
    </row>
    <row r="1288" spans="1:17" ht="13.5">
      <c r="A1288" s="693"/>
      <c r="B1288" s="693"/>
      <c r="C1288" s="693"/>
      <c r="D1288" s="693"/>
      <c r="E1288" s="693"/>
      <c r="F1288" s="693"/>
      <c r="G1288" s="693"/>
      <c r="H1288" s="693"/>
      <c r="I1288" s="693"/>
      <c r="J1288" s="693"/>
      <c r="K1288" s="693"/>
      <c r="L1288" s="693"/>
      <c r="M1288" s="693"/>
      <c r="N1288" s="693"/>
      <c r="O1288" s="693"/>
      <c r="P1288" s="693"/>
      <c r="Q1288" s="693"/>
    </row>
    <row r="1289" spans="1:17" ht="13.5">
      <c r="A1289" s="693"/>
      <c r="B1289" s="693"/>
      <c r="C1289" s="693"/>
      <c r="D1289" s="693"/>
      <c r="E1289" s="693"/>
      <c r="F1289" s="693"/>
      <c r="G1289" s="693"/>
      <c r="H1289" s="693"/>
      <c r="I1289" s="693"/>
      <c r="J1289" s="693"/>
      <c r="K1289" s="693"/>
      <c r="L1289" s="693"/>
      <c r="M1289" s="693"/>
      <c r="N1289" s="693"/>
      <c r="O1289" s="693"/>
      <c r="P1289" s="693"/>
      <c r="Q1289" s="693"/>
    </row>
    <row r="1290" spans="1:17" ht="13.5">
      <c r="A1290" s="693"/>
      <c r="B1290" s="693"/>
      <c r="C1290" s="693"/>
      <c r="D1290" s="693"/>
      <c r="E1290" s="693"/>
      <c r="F1290" s="693"/>
      <c r="G1290" s="693"/>
      <c r="H1290" s="693"/>
      <c r="I1290" s="693"/>
      <c r="J1290" s="693"/>
      <c r="K1290" s="693"/>
      <c r="L1290" s="693"/>
      <c r="M1290" s="693"/>
      <c r="N1290" s="693"/>
      <c r="O1290" s="693"/>
      <c r="P1290" s="693"/>
      <c r="Q1290" s="693"/>
    </row>
    <row r="1291" spans="1:17" ht="13.5">
      <c r="A1291" s="693"/>
      <c r="B1291" s="693"/>
      <c r="C1291" s="693"/>
      <c r="D1291" s="693"/>
      <c r="E1291" s="693"/>
      <c r="F1291" s="693"/>
      <c r="G1291" s="693"/>
      <c r="H1291" s="693"/>
      <c r="I1291" s="693"/>
      <c r="J1291" s="693"/>
      <c r="K1291" s="693"/>
      <c r="L1291" s="693"/>
      <c r="M1291" s="693"/>
      <c r="N1291" s="693"/>
      <c r="O1291" s="693"/>
      <c r="P1291" s="693"/>
      <c r="Q1291" s="693"/>
    </row>
    <row r="1292" spans="1:17" ht="13.5">
      <c r="A1292" s="693"/>
      <c r="B1292" s="693"/>
      <c r="C1292" s="693"/>
      <c r="D1292" s="693"/>
      <c r="E1292" s="693"/>
      <c r="F1292" s="693"/>
      <c r="G1292" s="693"/>
      <c r="H1292" s="693"/>
      <c r="I1292" s="693"/>
      <c r="J1292" s="693"/>
      <c r="K1292" s="693"/>
      <c r="L1292" s="693"/>
      <c r="M1292" s="693"/>
      <c r="N1292" s="693"/>
      <c r="O1292" s="693"/>
      <c r="P1292" s="693"/>
      <c r="Q1292" s="693"/>
    </row>
    <row r="1293" spans="1:17" ht="13.5">
      <c r="A1293" s="693"/>
      <c r="B1293" s="693"/>
      <c r="C1293" s="693"/>
      <c r="D1293" s="693"/>
      <c r="E1293" s="693"/>
      <c r="F1293" s="693"/>
      <c r="G1293" s="693"/>
      <c r="H1293" s="693"/>
      <c r="I1293" s="693"/>
      <c r="J1293" s="693"/>
      <c r="K1293" s="693"/>
      <c r="L1293" s="693"/>
      <c r="M1293" s="693"/>
      <c r="N1293" s="693"/>
      <c r="O1293" s="693"/>
      <c r="P1293" s="693"/>
      <c r="Q1293" s="693"/>
    </row>
    <row r="1294" spans="1:17" ht="13.5">
      <c r="A1294" s="693"/>
      <c r="B1294" s="693"/>
      <c r="C1294" s="693"/>
      <c r="D1294" s="693"/>
      <c r="E1294" s="693"/>
      <c r="F1294" s="693"/>
      <c r="G1294" s="693"/>
      <c r="H1294" s="693"/>
      <c r="I1294" s="693"/>
      <c r="J1294" s="693"/>
      <c r="K1294" s="693"/>
      <c r="L1294" s="693"/>
      <c r="M1294" s="693"/>
      <c r="N1294" s="693"/>
      <c r="O1294" s="693"/>
      <c r="P1294" s="693"/>
      <c r="Q1294" s="693"/>
    </row>
    <row r="1295" spans="1:17" ht="13.5">
      <c r="A1295" s="693"/>
      <c r="B1295" s="693"/>
      <c r="C1295" s="693"/>
      <c r="D1295" s="693"/>
      <c r="E1295" s="693"/>
      <c r="F1295" s="693"/>
      <c r="G1295" s="693"/>
      <c r="H1295" s="693"/>
      <c r="I1295" s="693"/>
      <c r="J1295" s="693"/>
      <c r="K1295" s="693"/>
      <c r="L1295" s="693"/>
      <c r="M1295" s="693"/>
      <c r="N1295" s="693"/>
      <c r="O1295" s="693"/>
      <c r="P1295" s="693"/>
      <c r="Q1295" s="693"/>
    </row>
    <row r="1296" spans="1:17" ht="13.5">
      <c r="A1296" s="693"/>
      <c r="B1296" s="693"/>
      <c r="C1296" s="693"/>
      <c r="D1296" s="693"/>
      <c r="E1296" s="693"/>
      <c r="F1296" s="693"/>
      <c r="G1296" s="693"/>
      <c r="H1296" s="693"/>
      <c r="I1296" s="693"/>
      <c r="J1296" s="693"/>
      <c r="K1296" s="693"/>
      <c r="L1296" s="693"/>
      <c r="M1296" s="693"/>
      <c r="N1296" s="693"/>
      <c r="O1296" s="693"/>
      <c r="P1296" s="693"/>
      <c r="Q1296" s="693"/>
    </row>
    <row r="1297" spans="1:17" ht="13.5">
      <c r="A1297" s="693"/>
      <c r="B1297" s="693"/>
      <c r="C1297" s="693"/>
      <c r="D1297" s="693"/>
      <c r="E1297" s="693"/>
      <c r="F1297" s="693"/>
      <c r="G1297" s="693"/>
      <c r="H1297" s="693"/>
      <c r="I1297" s="693"/>
      <c r="J1297" s="693"/>
      <c r="K1297" s="693"/>
      <c r="L1297" s="693"/>
      <c r="M1297" s="693"/>
      <c r="N1297" s="693"/>
      <c r="O1297" s="693"/>
      <c r="P1297" s="693"/>
      <c r="Q1297" s="693"/>
    </row>
    <row r="1298" spans="1:17" ht="13.5">
      <c r="A1298" s="693"/>
      <c r="B1298" s="693"/>
      <c r="C1298" s="693"/>
      <c r="D1298" s="693"/>
      <c r="E1298" s="693"/>
      <c r="F1298" s="693"/>
      <c r="G1298" s="693"/>
      <c r="H1298" s="693"/>
      <c r="I1298" s="693"/>
      <c r="J1298" s="693"/>
      <c r="K1298" s="693"/>
      <c r="L1298" s="693"/>
      <c r="M1298" s="693"/>
      <c r="N1298" s="693"/>
      <c r="O1298" s="693"/>
      <c r="P1298" s="693"/>
      <c r="Q1298" s="693"/>
    </row>
    <row r="1299" spans="1:17" ht="13.5">
      <c r="A1299" s="693"/>
      <c r="B1299" s="693"/>
      <c r="C1299" s="693"/>
      <c r="D1299" s="693"/>
      <c r="E1299" s="693"/>
      <c r="F1299" s="693"/>
      <c r="G1299" s="693"/>
      <c r="H1299" s="693"/>
      <c r="I1299" s="693"/>
      <c r="J1299" s="693"/>
      <c r="K1299" s="693"/>
      <c r="L1299" s="693"/>
      <c r="M1299" s="693"/>
      <c r="N1299" s="693"/>
      <c r="O1299" s="693"/>
      <c r="P1299" s="693"/>
      <c r="Q1299" s="693"/>
    </row>
    <row r="1300" spans="1:17" ht="13.5">
      <c r="A1300" s="693"/>
      <c r="B1300" s="693"/>
      <c r="C1300" s="693"/>
      <c r="D1300" s="693"/>
      <c r="E1300" s="693"/>
      <c r="F1300" s="693"/>
      <c r="G1300" s="693"/>
      <c r="H1300" s="693"/>
      <c r="I1300" s="693"/>
      <c r="J1300" s="693"/>
      <c r="K1300" s="693"/>
      <c r="L1300" s="693"/>
      <c r="M1300" s="693"/>
      <c r="N1300" s="693"/>
      <c r="O1300" s="693"/>
      <c r="P1300" s="693"/>
      <c r="Q1300" s="693"/>
    </row>
    <row r="1301" spans="1:17" ht="13.5">
      <c r="A1301" s="693"/>
      <c r="B1301" s="693"/>
      <c r="C1301" s="693"/>
      <c r="D1301" s="693"/>
      <c r="E1301" s="693"/>
      <c r="F1301" s="693"/>
      <c r="G1301" s="693"/>
      <c r="H1301" s="693"/>
      <c r="I1301" s="693"/>
      <c r="J1301" s="693"/>
      <c r="K1301" s="693"/>
      <c r="L1301" s="693"/>
      <c r="M1301" s="693"/>
      <c r="N1301" s="693"/>
      <c r="O1301" s="693"/>
      <c r="P1301" s="693"/>
      <c r="Q1301" s="693"/>
    </row>
    <row r="1302" spans="1:17" ht="13.5">
      <c r="A1302" s="693"/>
      <c r="B1302" s="693"/>
      <c r="C1302" s="693"/>
      <c r="D1302" s="693"/>
      <c r="E1302" s="693"/>
      <c r="F1302" s="693"/>
      <c r="G1302" s="693"/>
      <c r="H1302" s="693"/>
      <c r="I1302" s="693"/>
      <c r="J1302" s="693"/>
      <c r="K1302" s="693"/>
      <c r="L1302" s="693"/>
      <c r="M1302" s="693"/>
      <c r="N1302" s="693"/>
      <c r="O1302" s="693"/>
      <c r="P1302" s="693"/>
      <c r="Q1302" s="693"/>
    </row>
    <row r="1303" spans="1:17" ht="13.5">
      <c r="A1303" s="693"/>
      <c r="B1303" s="693"/>
      <c r="C1303" s="693"/>
      <c r="D1303" s="693"/>
      <c r="E1303" s="693"/>
      <c r="F1303" s="693"/>
      <c r="G1303" s="693"/>
      <c r="H1303" s="693"/>
      <c r="I1303" s="693"/>
      <c r="J1303" s="693"/>
      <c r="K1303" s="693"/>
      <c r="L1303" s="693"/>
      <c r="M1303" s="693"/>
      <c r="N1303" s="693"/>
      <c r="O1303" s="693"/>
      <c r="P1303" s="693"/>
      <c r="Q1303" s="693"/>
    </row>
    <row r="1304" spans="1:17" ht="13.5">
      <c r="A1304" s="693"/>
      <c r="B1304" s="693"/>
      <c r="C1304" s="693"/>
      <c r="D1304" s="693"/>
      <c r="E1304" s="693"/>
      <c r="F1304" s="693"/>
      <c r="G1304" s="693"/>
      <c r="H1304" s="693"/>
      <c r="I1304" s="693"/>
      <c r="J1304" s="693"/>
      <c r="K1304" s="693"/>
      <c r="L1304" s="693"/>
      <c r="M1304" s="693"/>
      <c r="N1304" s="693"/>
      <c r="O1304" s="693"/>
      <c r="P1304" s="693"/>
      <c r="Q1304" s="693"/>
    </row>
    <row r="1305" spans="1:17" ht="13.5">
      <c r="A1305" s="693"/>
      <c r="B1305" s="693"/>
      <c r="C1305" s="693"/>
      <c r="D1305" s="693"/>
      <c r="E1305" s="693"/>
      <c r="F1305" s="693"/>
      <c r="G1305" s="693"/>
      <c r="H1305" s="693"/>
      <c r="I1305" s="693"/>
      <c r="J1305" s="693"/>
      <c r="K1305" s="693"/>
      <c r="L1305" s="693"/>
      <c r="M1305" s="693"/>
      <c r="N1305" s="693"/>
      <c r="O1305" s="693"/>
      <c r="P1305" s="693"/>
      <c r="Q1305" s="693"/>
    </row>
    <row r="1306" spans="1:17" ht="13.5">
      <c r="A1306" s="693"/>
      <c r="B1306" s="693"/>
      <c r="C1306" s="693"/>
      <c r="D1306" s="693"/>
      <c r="E1306" s="693"/>
      <c r="F1306" s="693"/>
      <c r="G1306" s="693"/>
      <c r="H1306" s="693"/>
      <c r="I1306" s="693"/>
      <c r="J1306" s="693"/>
      <c r="K1306" s="693"/>
      <c r="L1306" s="693"/>
      <c r="M1306" s="693"/>
      <c r="N1306" s="693"/>
      <c r="O1306" s="693"/>
      <c r="P1306" s="693"/>
      <c r="Q1306" s="693"/>
    </row>
    <row r="1307" spans="1:17" ht="13.5">
      <c r="A1307" s="693"/>
      <c r="B1307" s="693"/>
      <c r="C1307" s="693"/>
      <c r="D1307" s="693"/>
      <c r="E1307" s="693"/>
      <c r="F1307" s="693"/>
      <c r="G1307" s="693"/>
      <c r="H1307" s="693"/>
      <c r="I1307" s="693"/>
      <c r="J1307" s="693"/>
      <c r="K1307" s="693"/>
      <c r="L1307" s="693"/>
      <c r="M1307" s="693"/>
      <c r="N1307" s="693"/>
      <c r="O1307" s="693"/>
      <c r="P1307" s="693"/>
      <c r="Q1307" s="693"/>
    </row>
    <row r="1308" spans="1:17" ht="13.5">
      <c r="A1308" s="693"/>
      <c r="B1308" s="693"/>
      <c r="C1308" s="693"/>
      <c r="D1308" s="693"/>
      <c r="E1308" s="693"/>
      <c r="F1308" s="693"/>
      <c r="G1308" s="693"/>
      <c r="H1308" s="693"/>
      <c r="I1308" s="693"/>
      <c r="J1308" s="693"/>
      <c r="K1308" s="693"/>
      <c r="L1308" s="693"/>
      <c r="M1308" s="693"/>
      <c r="N1308" s="693"/>
      <c r="O1308" s="693"/>
      <c r="P1308" s="693"/>
      <c r="Q1308" s="693"/>
    </row>
    <row r="1309" spans="1:17" ht="13.5">
      <c r="A1309" s="693"/>
      <c r="B1309" s="693"/>
      <c r="C1309" s="693"/>
      <c r="D1309" s="693"/>
      <c r="E1309" s="693"/>
      <c r="F1309" s="693"/>
      <c r="G1309" s="693"/>
      <c r="H1309" s="693"/>
      <c r="I1309" s="693"/>
      <c r="J1309" s="693"/>
      <c r="K1309" s="693"/>
      <c r="L1309" s="693"/>
      <c r="M1309" s="693"/>
      <c r="N1309" s="693"/>
      <c r="O1309" s="693"/>
      <c r="P1309" s="693"/>
      <c r="Q1309" s="693"/>
    </row>
    <row r="1310" spans="1:17" ht="13.5">
      <c r="A1310" s="693"/>
      <c r="B1310" s="693"/>
      <c r="C1310" s="693"/>
      <c r="D1310" s="693"/>
      <c r="E1310" s="693"/>
      <c r="F1310" s="693"/>
      <c r="G1310" s="693"/>
      <c r="H1310" s="693"/>
      <c r="I1310" s="693"/>
      <c r="J1310" s="693"/>
      <c r="K1310" s="693"/>
      <c r="L1310" s="693"/>
      <c r="M1310" s="693"/>
      <c r="N1310" s="693"/>
      <c r="O1310" s="693"/>
      <c r="P1310" s="693"/>
      <c r="Q1310" s="693"/>
    </row>
    <row r="1311" spans="1:17" ht="13.5">
      <c r="A1311" s="693"/>
      <c r="B1311" s="693"/>
      <c r="C1311" s="693"/>
      <c r="D1311" s="693"/>
      <c r="E1311" s="693"/>
      <c r="F1311" s="693"/>
      <c r="G1311" s="693"/>
      <c r="H1311" s="693"/>
      <c r="I1311" s="693"/>
      <c r="J1311" s="693"/>
      <c r="K1311" s="693"/>
      <c r="L1311" s="693"/>
      <c r="M1311" s="693"/>
      <c r="N1311" s="693"/>
      <c r="O1311" s="693"/>
      <c r="P1311" s="693"/>
      <c r="Q1311" s="693"/>
    </row>
    <row r="1312" spans="1:17" ht="13.5">
      <c r="A1312" s="693"/>
      <c r="B1312" s="693"/>
      <c r="C1312" s="693"/>
      <c r="D1312" s="693"/>
      <c r="E1312" s="693"/>
      <c r="F1312" s="693"/>
      <c r="G1312" s="693"/>
      <c r="H1312" s="693"/>
      <c r="I1312" s="693"/>
      <c r="J1312" s="693"/>
      <c r="K1312" s="693"/>
      <c r="L1312" s="693"/>
      <c r="M1312" s="693"/>
      <c r="N1312" s="693"/>
      <c r="O1312" s="693"/>
      <c r="P1312" s="693"/>
      <c r="Q1312" s="693"/>
    </row>
    <row r="1313" spans="1:17" ht="13.5">
      <c r="A1313" s="693"/>
      <c r="B1313" s="693"/>
      <c r="C1313" s="693"/>
      <c r="D1313" s="693"/>
      <c r="E1313" s="693"/>
      <c r="F1313" s="693"/>
      <c r="G1313" s="693"/>
      <c r="H1313" s="693"/>
      <c r="I1313" s="693"/>
      <c r="J1313" s="693"/>
      <c r="K1313" s="693"/>
      <c r="L1313" s="693"/>
      <c r="M1313" s="693"/>
      <c r="N1313" s="693"/>
      <c r="O1313" s="693"/>
      <c r="P1313" s="693"/>
      <c r="Q1313" s="693"/>
    </row>
    <row r="1314" spans="1:17" ht="13.5">
      <c r="A1314" s="693"/>
      <c r="B1314" s="693"/>
      <c r="C1314" s="693"/>
      <c r="D1314" s="693"/>
      <c r="E1314" s="693"/>
      <c r="F1314" s="693"/>
      <c r="G1314" s="693"/>
      <c r="H1314" s="693"/>
      <c r="I1314" s="693"/>
      <c r="J1314" s="693"/>
      <c r="K1314" s="693"/>
      <c r="L1314" s="693"/>
      <c r="M1314" s="693"/>
      <c r="N1314" s="693"/>
      <c r="O1314" s="693"/>
      <c r="P1314" s="693"/>
      <c r="Q1314" s="693"/>
    </row>
    <row r="1315" spans="1:17" ht="13.5">
      <c r="A1315" s="693"/>
      <c r="B1315" s="693"/>
      <c r="C1315" s="693"/>
      <c r="D1315" s="693"/>
      <c r="E1315" s="693"/>
      <c r="F1315" s="693"/>
      <c r="G1315" s="693"/>
      <c r="H1315" s="693"/>
      <c r="I1315" s="693"/>
      <c r="J1315" s="693"/>
      <c r="K1315" s="693"/>
      <c r="L1315" s="693"/>
      <c r="M1315" s="693"/>
      <c r="N1315" s="693"/>
      <c r="O1315" s="693"/>
      <c r="P1315" s="693"/>
      <c r="Q1315" s="693"/>
    </row>
    <row r="1316" spans="1:17" ht="13.5">
      <c r="A1316" s="693"/>
      <c r="B1316" s="693"/>
      <c r="C1316" s="693"/>
      <c r="D1316" s="693"/>
      <c r="E1316" s="693"/>
      <c r="F1316" s="693"/>
      <c r="G1316" s="693"/>
      <c r="H1316" s="693"/>
      <c r="I1316" s="693"/>
      <c r="J1316" s="693"/>
      <c r="K1316" s="693"/>
      <c r="L1316" s="693"/>
      <c r="M1316" s="693"/>
      <c r="N1316" s="693"/>
      <c r="O1316" s="693"/>
      <c r="P1316" s="693"/>
      <c r="Q1316" s="693"/>
    </row>
    <row r="1317" spans="1:17" ht="13.5">
      <c r="A1317" s="693"/>
      <c r="B1317" s="693"/>
      <c r="C1317" s="693"/>
      <c r="D1317" s="693"/>
      <c r="E1317" s="693"/>
      <c r="F1317" s="693"/>
      <c r="G1317" s="693"/>
      <c r="H1317" s="693"/>
      <c r="I1317" s="693"/>
      <c r="J1317" s="693"/>
      <c r="K1317" s="693"/>
      <c r="L1317" s="693"/>
      <c r="M1317" s="693"/>
      <c r="N1317" s="693"/>
      <c r="O1317" s="693"/>
      <c r="P1317" s="693"/>
      <c r="Q1317" s="693"/>
    </row>
    <row r="1318" spans="1:17" ht="13.5">
      <c r="A1318" s="693"/>
      <c r="B1318" s="693"/>
      <c r="C1318" s="693"/>
      <c r="D1318" s="693"/>
      <c r="E1318" s="693"/>
      <c r="F1318" s="693"/>
      <c r="G1318" s="693"/>
      <c r="H1318" s="693"/>
      <c r="I1318" s="693"/>
      <c r="J1318" s="693"/>
      <c r="K1318" s="693"/>
      <c r="L1318" s="693"/>
      <c r="M1318" s="693"/>
      <c r="N1318" s="693"/>
      <c r="O1318" s="693"/>
      <c r="P1318" s="693"/>
      <c r="Q1318" s="693"/>
    </row>
    <row r="1319" spans="1:17" ht="13.5">
      <c r="A1319" s="693"/>
      <c r="B1319" s="693"/>
      <c r="C1319" s="693"/>
      <c r="D1319" s="693"/>
      <c r="E1319" s="693"/>
      <c r="F1319" s="693"/>
      <c r="G1319" s="693"/>
      <c r="H1319" s="693"/>
      <c r="I1319" s="693"/>
      <c r="J1319" s="693"/>
      <c r="K1319" s="693"/>
      <c r="L1319" s="693"/>
      <c r="M1319" s="693"/>
      <c r="N1319" s="693"/>
      <c r="O1319" s="693"/>
      <c r="P1319" s="693"/>
      <c r="Q1319" s="693"/>
    </row>
    <row r="1320" spans="1:17" ht="13.5">
      <c r="A1320" s="693"/>
      <c r="B1320" s="693"/>
      <c r="C1320" s="693"/>
      <c r="D1320" s="693"/>
      <c r="E1320" s="693"/>
      <c r="F1320" s="693"/>
      <c r="G1320" s="693"/>
      <c r="H1320" s="693"/>
      <c r="I1320" s="693"/>
      <c r="J1320" s="693"/>
      <c r="K1320" s="693"/>
      <c r="L1320" s="693"/>
      <c r="M1320" s="693"/>
      <c r="N1320" s="693"/>
      <c r="O1320" s="693"/>
      <c r="P1320" s="693"/>
      <c r="Q1320" s="693"/>
    </row>
    <row r="1321" spans="1:17" ht="13.5">
      <c r="A1321" s="693"/>
      <c r="B1321" s="693"/>
      <c r="C1321" s="693"/>
      <c r="D1321" s="693"/>
      <c r="E1321" s="693"/>
      <c r="F1321" s="693"/>
      <c r="G1321" s="693"/>
      <c r="H1321" s="693"/>
      <c r="I1321" s="693"/>
      <c r="J1321" s="693"/>
      <c r="K1321" s="693"/>
      <c r="L1321" s="693"/>
      <c r="M1321" s="693"/>
      <c r="N1321" s="693"/>
      <c r="O1321" s="693"/>
      <c r="P1321" s="693"/>
      <c r="Q1321" s="693"/>
    </row>
    <row r="1322" spans="1:17" ht="13.5">
      <c r="A1322" s="693"/>
      <c r="B1322" s="693"/>
      <c r="C1322" s="693"/>
      <c r="D1322" s="693"/>
      <c r="E1322" s="693"/>
      <c r="F1322" s="693"/>
      <c r="G1322" s="693"/>
      <c r="H1322" s="693"/>
      <c r="I1322" s="693"/>
      <c r="J1322" s="693"/>
      <c r="K1322" s="693"/>
      <c r="L1322" s="693"/>
      <c r="M1322" s="693"/>
      <c r="N1322" s="693"/>
      <c r="O1322" s="693"/>
      <c r="P1322" s="693"/>
      <c r="Q1322" s="693"/>
    </row>
    <row r="1323" spans="1:17" ht="13.5">
      <c r="A1323" s="693"/>
      <c r="B1323" s="693"/>
      <c r="C1323" s="693"/>
      <c r="D1323" s="693"/>
      <c r="E1323" s="693"/>
      <c r="F1323" s="693"/>
      <c r="G1323" s="693"/>
      <c r="H1323" s="693"/>
      <c r="I1323" s="693"/>
      <c r="J1323" s="693"/>
      <c r="K1323" s="693"/>
      <c r="L1323" s="693"/>
      <c r="M1323" s="693"/>
      <c r="N1323" s="693"/>
      <c r="O1323" s="693"/>
      <c r="P1323" s="693"/>
      <c r="Q1323" s="693"/>
    </row>
    <row r="1324" spans="1:17" ht="13.5">
      <c r="A1324" s="693"/>
      <c r="B1324" s="693"/>
      <c r="C1324" s="693"/>
      <c r="D1324" s="693"/>
      <c r="E1324" s="693"/>
      <c r="F1324" s="693"/>
      <c r="G1324" s="693"/>
      <c r="H1324" s="693"/>
      <c r="I1324" s="693"/>
      <c r="J1324" s="693"/>
      <c r="K1324" s="693"/>
      <c r="L1324" s="693"/>
      <c r="M1324" s="693"/>
      <c r="N1324" s="693"/>
      <c r="O1324" s="693"/>
      <c r="P1324" s="693"/>
      <c r="Q1324" s="693"/>
    </row>
    <row r="1325" spans="1:17" ht="13.5">
      <c r="A1325" s="693"/>
      <c r="B1325" s="693"/>
      <c r="C1325" s="693"/>
      <c r="D1325" s="693"/>
      <c r="E1325" s="693"/>
      <c r="F1325" s="693"/>
      <c r="G1325" s="693"/>
      <c r="H1325" s="693"/>
      <c r="I1325" s="693"/>
      <c r="J1325" s="693"/>
      <c r="K1325" s="693"/>
      <c r="L1325" s="693"/>
      <c r="M1325" s="693"/>
      <c r="N1325" s="693"/>
      <c r="O1325" s="693"/>
      <c r="P1325" s="693"/>
      <c r="Q1325" s="693"/>
    </row>
    <row r="1326" spans="1:17" ht="13.5">
      <c r="A1326" s="693"/>
      <c r="B1326" s="693"/>
      <c r="C1326" s="693"/>
      <c r="D1326" s="693"/>
      <c r="E1326" s="693"/>
      <c r="F1326" s="693"/>
      <c r="G1326" s="693"/>
      <c r="H1326" s="693"/>
      <c r="I1326" s="693"/>
      <c r="J1326" s="693"/>
      <c r="K1326" s="693"/>
      <c r="L1326" s="693"/>
      <c r="M1326" s="693"/>
      <c r="N1326" s="693"/>
      <c r="O1326" s="693"/>
      <c r="P1326" s="693"/>
      <c r="Q1326" s="693"/>
    </row>
    <row r="1327" spans="1:17" ht="13.5">
      <c r="A1327" s="693"/>
      <c r="B1327" s="693"/>
      <c r="C1327" s="693"/>
      <c r="D1327" s="693"/>
      <c r="E1327" s="693"/>
      <c r="F1327" s="693"/>
      <c r="G1327" s="693"/>
      <c r="H1327" s="693"/>
      <c r="I1327" s="693"/>
      <c r="J1327" s="693"/>
      <c r="K1327" s="693"/>
      <c r="L1327" s="693"/>
      <c r="M1327" s="693"/>
      <c r="N1327" s="693"/>
      <c r="O1327" s="693"/>
      <c r="P1327" s="693"/>
      <c r="Q1327" s="693"/>
    </row>
    <row r="1328" spans="1:17" ht="13.5">
      <c r="A1328" s="693"/>
      <c r="B1328" s="693"/>
      <c r="C1328" s="693"/>
      <c r="D1328" s="693"/>
      <c r="E1328" s="693"/>
      <c r="F1328" s="693"/>
      <c r="G1328" s="693"/>
      <c r="H1328" s="693"/>
      <c r="I1328" s="693"/>
      <c r="J1328" s="693"/>
      <c r="K1328" s="693"/>
      <c r="L1328" s="693"/>
      <c r="M1328" s="693"/>
      <c r="N1328" s="693"/>
      <c r="O1328" s="693"/>
      <c r="P1328" s="693"/>
      <c r="Q1328" s="693"/>
    </row>
    <row r="1329" spans="1:17" ht="13.5">
      <c r="A1329" s="693"/>
      <c r="B1329" s="693"/>
      <c r="C1329" s="693"/>
      <c r="D1329" s="693"/>
      <c r="E1329" s="693"/>
      <c r="F1329" s="693"/>
      <c r="G1329" s="693"/>
      <c r="H1329" s="693"/>
      <c r="I1329" s="693"/>
      <c r="J1329" s="693"/>
      <c r="K1329" s="693"/>
      <c r="L1329" s="693"/>
      <c r="M1329" s="693"/>
      <c r="N1329" s="693"/>
      <c r="O1329" s="693"/>
      <c r="P1329" s="693"/>
      <c r="Q1329" s="693"/>
    </row>
    <row r="1330" spans="1:17" ht="13.5">
      <c r="A1330" s="693"/>
      <c r="B1330" s="693"/>
      <c r="C1330" s="693"/>
      <c r="D1330" s="693"/>
      <c r="E1330" s="693"/>
      <c r="F1330" s="693"/>
      <c r="G1330" s="693"/>
      <c r="H1330" s="693"/>
      <c r="I1330" s="693"/>
      <c r="J1330" s="693"/>
      <c r="K1330" s="693"/>
      <c r="L1330" s="693"/>
      <c r="M1330" s="693"/>
      <c r="N1330" s="693"/>
      <c r="O1330" s="693"/>
      <c r="P1330" s="693"/>
      <c r="Q1330" s="693"/>
    </row>
    <row r="1331" spans="1:17" ht="13.5">
      <c r="A1331" s="693"/>
      <c r="B1331" s="693"/>
      <c r="C1331" s="693"/>
      <c r="D1331" s="693"/>
      <c r="E1331" s="693"/>
      <c r="F1331" s="693"/>
      <c r="G1331" s="693"/>
      <c r="H1331" s="693"/>
      <c r="I1331" s="693"/>
      <c r="J1331" s="693"/>
      <c r="K1331" s="693"/>
      <c r="L1331" s="693"/>
      <c r="M1331" s="693"/>
      <c r="N1331" s="693"/>
      <c r="O1331" s="693"/>
      <c r="P1331" s="693"/>
      <c r="Q1331" s="693"/>
    </row>
    <row r="1332" spans="1:17" ht="13.5">
      <c r="A1332" s="693"/>
      <c r="B1332" s="693"/>
      <c r="C1332" s="693"/>
      <c r="D1332" s="693"/>
      <c r="E1332" s="693"/>
      <c r="F1332" s="693"/>
      <c r="G1332" s="693"/>
      <c r="H1332" s="693"/>
      <c r="I1332" s="693"/>
      <c r="J1332" s="693"/>
      <c r="K1332" s="693"/>
      <c r="L1332" s="693"/>
      <c r="M1332" s="693"/>
      <c r="N1332" s="693"/>
      <c r="O1332" s="693"/>
      <c r="P1332" s="693"/>
      <c r="Q1332" s="693"/>
    </row>
    <row r="1333" spans="1:17" ht="13.5">
      <c r="A1333" s="693"/>
      <c r="B1333" s="693"/>
      <c r="C1333" s="693"/>
      <c r="D1333" s="693"/>
      <c r="E1333" s="693"/>
      <c r="F1333" s="693"/>
      <c r="G1333" s="693"/>
      <c r="H1333" s="693"/>
      <c r="I1333" s="693"/>
      <c r="J1333" s="693"/>
      <c r="K1333" s="693"/>
      <c r="L1333" s="693"/>
      <c r="M1333" s="693"/>
      <c r="N1333" s="693"/>
      <c r="O1333" s="693"/>
      <c r="P1333" s="693"/>
      <c r="Q1333" s="693"/>
    </row>
    <row r="1334" spans="1:17" ht="13.5">
      <c r="A1334" s="693"/>
      <c r="B1334" s="693"/>
      <c r="C1334" s="693"/>
      <c r="D1334" s="693"/>
      <c r="E1334" s="693"/>
      <c r="F1334" s="693"/>
      <c r="G1334" s="693"/>
      <c r="H1334" s="693"/>
      <c r="I1334" s="693"/>
      <c r="J1334" s="693"/>
      <c r="K1334" s="693"/>
      <c r="L1334" s="693"/>
      <c r="M1334" s="693"/>
      <c r="N1334" s="693"/>
      <c r="O1334" s="693"/>
      <c r="P1334" s="693"/>
      <c r="Q1334" s="693"/>
    </row>
    <row r="1335" spans="1:17" ht="13.5">
      <c r="A1335" s="693"/>
      <c r="B1335" s="693"/>
      <c r="C1335" s="693"/>
      <c r="D1335" s="693"/>
      <c r="E1335" s="693"/>
      <c r="F1335" s="693"/>
      <c r="G1335" s="693"/>
      <c r="H1335" s="693"/>
      <c r="I1335" s="693"/>
      <c r="J1335" s="693"/>
      <c r="K1335" s="693"/>
      <c r="L1335" s="693"/>
      <c r="M1335" s="693"/>
      <c r="N1335" s="693"/>
      <c r="O1335" s="693"/>
      <c r="P1335" s="693"/>
      <c r="Q1335" s="693"/>
    </row>
    <row r="1336" spans="1:17" ht="13.5">
      <c r="A1336" s="693"/>
      <c r="B1336" s="693"/>
      <c r="C1336" s="693"/>
      <c r="D1336" s="693"/>
      <c r="E1336" s="693"/>
      <c r="F1336" s="693"/>
      <c r="G1336" s="693"/>
      <c r="H1336" s="693"/>
      <c r="I1336" s="693"/>
      <c r="J1336" s="693"/>
      <c r="K1336" s="693"/>
      <c r="L1336" s="693"/>
      <c r="M1336" s="693"/>
      <c r="N1336" s="693"/>
      <c r="O1336" s="693"/>
      <c r="P1336" s="693"/>
      <c r="Q1336" s="693"/>
    </row>
    <row r="1337" spans="1:17" ht="13.5">
      <c r="A1337" s="693"/>
      <c r="B1337" s="693"/>
      <c r="C1337" s="693"/>
      <c r="D1337" s="693"/>
      <c r="E1337" s="693"/>
      <c r="F1337" s="693"/>
      <c r="G1337" s="693"/>
      <c r="H1337" s="693"/>
      <c r="I1337" s="693"/>
      <c r="J1337" s="693"/>
      <c r="K1337" s="693"/>
      <c r="L1337" s="693"/>
      <c r="M1337" s="693"/>
      <c r="N1337" s="693"/>
      <c r="O1337" s="693"/>
      <c r="P1337" s="693"/>
      <c r="Q1337" s="693"/>
    </row>
    <row r="1338" spans="1:17" ht="13.5">
      <c r="A1338" s="693"/>
      <c r="B1338" s="693"/>
      <c r="C1338" s="693"/>
      <c r="D1338" s="693"/>
      <c r="E1338" s="693"/>
      <c r="F1338" s="693"/>
      <c r="G1338" s="693"/>
      <c r="H1338" s="693"/>
      <c r="I1338" s="693"/>
      <c r="J1338" s="693"/>
      <c r="K1338" s="693"/>
      <c r="L1338" s="693"/>
      <c r="M1338" s="693"/>
      <c r="N1338" s="693"/>
      <c r="O1338" s="693"/>
      <c r="P1338" s="693"/>
      <c r="Q1338" s="693"/>
    </row>
    <row r="1339" spans="1:17" ht="13.5">
      <c r="A1339" s="693"/>
      <c r="B1339" s="693"/>
      <c r="C1339" s="693"/>
      <c r="D1339" s="693"/>
      <c r="E1339" s="693"/>
      <c r="F1339" s="693"/>
      <c r="G1339" s="693"/>
      <c r="H1339" s="693"/>
      <c r="I1339" s="693"/>
      <c r="J1339" s="693"/>
      <c r="K1339" s="693"/>
      <c r="L1339" s="693"/>
      <c r="M1339" s="693"/>
      <c r="N1339" s="693"/>
      <c r="O1339" s="693"/>
      <c r="P1339" s="693"/>
      <c r="Q1339" s="693"/>
    </row>
    <row r="1340" spans="1:17" ht="13.5">
      <c r="A1340" s="693"/>
      <c r="B1340" s="693"/>
      <c r="C1340" s="693"/>
      <c r="D1340" s="693"/>
      <c r="E1340" s="693"/>
      <c r="F1340" s="693"/>
      <c r="G1340" s="693"/>
      <c r="H1340" s="693"/>
      <c r="I1340" s="693"/>
      <c r="J1340" s="693"/>
      <c r="K1340" s="693"/>
      <c r="L1340" s="693"/>
      <c r="M1340" s="693"/>
      <c r="N1340" s="693"/>
      <c r="O1340" s="693"/>
      <c r="P1340" s="693"/>
      <c r="Q1340" s="693"/>
    </row>
    <row r="1341" spans="1:17" ht="13.5">
      <c r="A1341" s="693"/>
      <c r="B1341" s="693"/>
      <c r="C1341" s="693"/>
      <c r="D1341" s="693"/>
      <c r="E1341" s="693"/>
      <c r="F1341" s="693"/>
      <c r="G1341" s="693"/>
      <c r="H1341" s="693"/>
      <c r="I1341" s="693"/>
      <c r="J1341" s="693"/>
      <c r="K1341" s="693"/>
      <c r="L1341" s="693"/>
      <c r="M1341" s="693"/>
      <c r="N1341" s="693"/>
      <c r="O1341" s="693"/>
      <c r="P1341" s="693"/>
      <c r="Q1341" s="693"/>
    </row>
    <row r="1342" spans="1:17" ht="13.5">
      <c r="A1342" s="693"/>
      <c r="B1342" s="693"/>
      <c r="C1342" s="693"/>
      <c r="D1342" s="693"/>
      <c r="E1342" s="693"/>
      <c r="F1342" s="693"/>
      <c r="G1342" s="693"/>
      <c r="H1342" s="693"/>
      <c r="I1342" s="693"/>
      <c r="J1342" s="693"/>
      <c r="K1342" s="693"/>
      <c r="L1342" s="693"/>
      <c r="M1342" s="693"/>
      <c r="N1342" s="693"/>
      <c r="O1342" s="693"/>
      <c r="P1342" s="693"/>
      <c r="Q1342" s="693"/>
    </row>
    <row r="1343" spans="1:17" ht="13.5">
      <c r="A1343" s="693"/>
      <c r="B1343" s="693"/>
      <c r="C1343" s="693"/>
      <c r="D1343" s="693"/>
      <c r="E1343" s="693"/>
      <c r="F1343" s="693"/>
      <c r="G1343" s="693"/>
      <c r="H1343" s="693"/>
      <c r="I1343" s="693"/>
      <c r="J1343" s="693"/>
      <c r="K1343" s="693"/>
      <c r="L1343" s="693"/>
      <c r="M1343" s="693"/>
      <c r="N1343" s="693"/>
      <c r="O1343" s="693"/>
      <c r="P1343" s="693"/>
      <c r="Q1343" s="693"/>
    </row>
    <row r="1344" spans="1:17" ht="13.5">
      <c r="A1344" s="693"/>
      <c r="B1344" s="693"/>
      <c r="C1344" s="693"/>
      <c r="D1344" s="693"/>
      <c r="E1344" s="693"/>
      <c r="F1344" s="693"/>
      <c r="G1344" s="693"/>
      <c r="H1344" s="693"/>
      <c r="I1344" s="693"/>
      <c r="J1344" s="693"/>
      <c r="K1344" s="693"/>
      <c r="L1344" s="693"/>
      <c r="M1344" s="693"/>
      <c r="N1344" s="693"/>
      <c r="O1344" s="693"/>
      <c r="P1344" s="693"/>
      <c r="Q1344" s="693"/>
    </row>
    <row r="1345" spans="1:17" ht="13.5">
      <c r="A1345" s="693"/>
      <c r="B1345" s="693"/>
      <c r="C1345" s="693"/>
      <c r="D1345" s="693"/>
      <c r="E1345" s="693"/>
      <c r="F1345" s="693"/>
      <c r="G1345" s="693"/>
      <c r="H1345" s="693"/>
      <c r="I1345" s="693"/>
      <c r="J1345" s="693"/>
      <c r="K1345" s="693"/>
      <c r="L1345" s="693"/>
      <c r="M1345" s="693"/>
      <c r="N1345" s="693"/>
      <c r="O1345" s="693"/>
      <c r="P1345" s="693"/>
      <c r="Q1345" s="693"/>
    </row>
    <row r="1346" spans="1:17" ht="13.5">
      <c r="A1346" s="693"/>
      <c r="B1346" s="693"/>
      <c r="C1346" s="693"/>
      <c r="D1346" s="693"/>
      <c r="E1346" s="693"/>
      <c r="F1346" s="693"/>
      <c r="G1346" s="693"/>
      <c r="H1346" s="693"/>
      <c r="I1346" s="693"/>
      <c r="J1346" s="693"/>
      <c r="K1346" s="693"/>
      <c r="L1346" s="693"/>
      <c r="M1346" s="693"/>
      <c r="N1346" s="693"/>
      <c r="O1346" s="693"/>
      <c r="P1346" s="693"/>
      <c r="Q1346" s="693"/>
    </row>
    <row r="1347" spans="1:17" ht="13.5">
      <c r="A1347" s="693"/>
      <c r="B1347" s="693"/>
      <c r="C1347" s="693"/>
      <c r="D1347" s="693"/>
      <c r="E1347" s="693"/>
      <c r="F1347" s="693"/>
      <c r="G1347" s="693"/>
      <c r="H1347" s="693"/>
      <c r="I1347" s="693"/>
      <c r="J1347" s="693"/>
      <c r="K1347" s="693"/>
      <c r="L1347" s="693"/>
      <c r="M1347" s="693"/>
      <c r="N1347" s="693"/>
      <c r="O1347" s="693"/>
      <c r="P1347" s="693"/>
      <c r="Q1347" s="693"/>
    </row>
    <row r="1348" spans="1:17" ht="13.5">
      <c r="A1348" s="693"/>
      <c r="B1348" s="693"/>
      <c r="C1348" s="693"/>
      <c r="D1348" s="693"/>
      <c r="E1348" s="693"/>
      <c r="F1348" s="693"/>
      <c r="G1348" s="693"/>
      <c r="H1348" s="693"/>
      <c r="I1348" s="693"/>
      <c r="J1348" s="693"/>
      <c r="K1348" s="693"/>
      <c r="L1348" s="693"/>
      <c r="M1348" s="693"/>
      <c r="N1348" s="693"/>
      <c r="O1348" s="693"/>
      <c r="P1348" s="693"/>
      <c r="Q1348" s="693"/>
    </row>
    <row r="1349" spans="1:17" ht="13.5">
      <c r="A1349" s="693"/>
      <c r="B1349" s="693"/>
      <c r="C1349" s="693"/>
      <c r="D1349" s="693"/>
      <c r="E1349" s="693"/>
      <c r="F1349" s="693"/>
      <c r="G1349" s="693"/>
      <c r="H1349" s="693"/>
      <c r="I1349" s="693"/>
      <c r="J1349" s="693"/>
      <c r="K1349" s="693"/>
      <c r="L1349" s="693"/>
      <c r="M1349" s="693"/>
      <c r="N1349" s="693"/>
      <c r="O1349" s="693"/>
      <c r="P1349" s="693"/>
      <c r="Q1349" s="693"/>
    </row>
    <row r="1350" spans="1:17" ht="13.5">
      <c r="A1350" s="693"/>
      <c r="B1350" s="693"/>
      <c r="C1350" s="693"/>
      <c r="D1350" s="693"/>
      <c r="E1350" s="693"/>
      <c r="F1350" s="693"/>
      <c r="G1350" s="693"/>
      <c r="H1350" s="693"/>
      <c r="I1350" s="693"/>
      <c r="J1350" s="693"/>
      <c r="K1350" s="693"/>
      <c r="L1350" s="693"/>
      <c r="M1350" s="693"/>
      <c r="N1350" s="693"/>
      <c r="O1350" s="693"/>
      <c r="P1350" s="693"/>
      <c r="Q1350" s="693"/>
    </row>
    <row r="1351" spans="1:17" ht="13.5">
      <c r="A1351" s="693"/>
      <c r="B1351" s="693"/>
      <c r="C1351" s="693"/>
      <c r="D1351" s="693"/>
      <c r="E1351" s="693"/>
      <c r="F1351" s="693"/>
      <c r="G1351" s="693"/>
      <c r="H1351" s="693"/>
      <c r="I1351" s="693"/>
      <c r="J1351" s="693"/>
      <c r="K1351" s="693"/>
      <c r="L1351" s="693"/>
      <c r="M1351" s="693"/>
      <c r="N1351" s="693"/>
      <c r="O1351" s="693"/>
      <c r="P1351" s="693"/>
      <c r="Q1351" s="693"/>
    </row>
    <row r="1352" spans="1:17" ht="13.5">
      <c r="A1352" s="693"/>
      <c r="B1352" s="693"/>
      <c r="C1352" s="693"/>
      <c r="D1352" s="693"/>
      <c r="E1352" s="693"/>
      <c r="F1352" s="693"/>
      <c r="G1352" s="693"/>
      <c r="H1352" s="693"/>
      <c r="I1352" s="693"/>
      <c r="J1352" s="693"/>
      <c r="K1352" s="693"/>
      <c r="L1352" s="693"/>
      <c r="M1352" s="693"/>
      <c r="N1352" s="693"/>
      <c r="O1352" s="693"/>
      <c r="P1352" s="693"/>
      <c r="Q1352" s="693"/>
    </row>
    <row r="1353" spans="1:17" ht="13.5">
      <c r="A1353" s="693"/>
      <c r="B1353" s="693"/>
      <c r="C1353" s="693"/>
      <c r="D1353" s="693"/>
      <c r="E1353" s="693"/>
      <c r="F1353" s="693"/>
      <c r="G1353" s="693"/>
      <c r="H1353" s="693"/>
      <c r="I1353" s="693"/>
      <c r="J1353" s="693"/>
      <c r="K1353" s="693"/>
      <c r="L1353" s="693"/>
      <c r="M1353" s="693"/>
      <c r="N1353" s="693"/>
      <c r="O1353" s="693"/>
      <c r="P1353" s="693"/>
      <c r="Q1353" s="693"/>
    </row>
    <row r="1354" spans="1:17" ht="13.5">
      <c r="A1354" s="693"/>
      <c r="B1354" s="693"/>
      <c r="C1354" s="693"/>
      <c r="D1354" s="693"/>
      <c r="E1354" s="693"/>
      <c r="F1354" s="693"/>
      <c r="G1354" s="693"/>
      <c r="H1354" s="693"/>
      <c r="I1354" s="693"/>
      <c r="J1354" s="693"/>
      <c r="K1354" s="693"/>
      <c r="L1354" s="693"/>
      <c r="M1354" s="693"/>
      <c r="N1354" s="693"/>
      <c r="O1354" s="693"/>
      <c r="P1354" s="693"/>
      <c r="Q1354" s="693"/>
    </row>
    <row r="1355" spans="1:17" ht="13.5">
      <c r="A1355" s="693"/>
      <c r="B1355" s="693"/>
      <c r="C1355" s="693"/>
      <c r="D1355" s="693"/>
      <c r="E1355" s="693"/>
      <c r="F1355" s="693"/>
      <c r="G1355" s="693"/>
      <c r="H1355" s="693"/>
      <c r="I1355" s="693"/>
      <c r="J1355" s="693"/>
      <c r="K1355" s="693"/>
      <c r="L1355" s="693"/>
      <c r="M1355" s="693"/>
      <c r="N1355" s="693"/>
      <c r="O1355" s="693"/>
      <c r="P1355" s="693"/>
      <c r="Q1355" s="693"/>
    </row>
    <row r="1356" spans="1:17" ht="13.5">
      <c r="A1356" s="693"/>
      <c r="B1356" s="693"/>
      <c r="C1356" s="693"/>
      <c r="D1356" s="693"/>
      <c r="E1356" s="693"/>
      <c r="F1356" s="693"/>
      <c r="G1356" s="693"/>
      <c r="H1356" s="693"/>
      <c r="I1356" s="693"/>
      <c r="J1356" s="693"/>
      <c r="K1356" s="693"/>
      <c r="L1356" s="693"/>
      <c r="M1356" s="693"/>
      <c r="N1356" s="693"/>
      <c r="O1356" s="693"/>
      <c r="P1356" s="693"/>
      <c r="Q1356" s="693"/>
    </row>
    <row r="1357" spans="1:17" ht="13.5">
      <c r="A1357" s="693"/>
      <c r="B1357" s="693"/>
      <c r="C1357" s="693"/>
      <c r="D1357" s="693"/>
      <c r="E1357" s="693"/>
      <c r="F1357" s="693"/>
      <c r="G1357" s="693"/>
      <c r="H1357" s="693"/>
      <c r="I1357" s="693"/>
      <c r="J1357" s="693"/>
      <c r="K1357" s="693"/>
      <c r="L1357" s="693"/>
      <c r="M1357" s="693"/>
      <c r="N1357" s="693"/>
      <c r="O1357" s="693"/>
      <c r="P1357" s="693"/>
      <c r="Q1357" s="693"/>
    </row>
    <row r="1358" spans="1:17" ht="13.5">
      <c r="A1358" s="693"/>
      <c r="B1358" s="693"/>
      <c r="C1358" s="693"/>
      <c r="D1358" s="693"/>
      <c r="E1358" s="693"/>
      <c r="F1358" s="693"/>
      <c r="G1358" s="693"/>
      <c r="H1358" s="693"/>
      <c r="I1358" s="693"/>
      <c r="J1358" s="693"/>
      <c r="K1358" s="693"/>
      <c r="L1358" s="693"/>
      <c r="M1358" s="693"/>
      <c r="N1358" s="693"/>
      <c r="O1358" s="693"/>
      <c r="P1358" s="693"/>
      <c r="Q1358" s="693"/>
    </row>
    <row r="1359" spans="1:17" ht="13.5">
      <c r="A1359" s="693"/>
      <c r="B1359" s="693"/>
      <c r="C1359" s="693"/>
      <c r="D1359" s="693"/>
      <c r="E1359" s="693"/>
      <c r="F1359" s="693"/>
      <c r="G1359" s="693"/>
      <c r="H1359" s="693"/>
      <c r="I1359" s="693"/>
      <c r="J1359" s="693"/>
      <c r="K1359" s="693"/>
      <c r="L1359" s="693"/>
      <c r="M1359" s="693"/>
      <c r="N1359" s="693"/>
      <c r="O1359" s="693"/>
      <c r="P1359" s="693"/>
      <c r="Q1359" s="693"/>
    </row>
    <row r="1360" spans="1:17" ht="13.5">
      <c r="A1360" s="693"/>
      <c r="B1360" s="693"/>
      <c r="C1360" s="693"/>
      <c r="D1360" s="693"/>
      <c r="E1360" s="693"/>
      <c r="F1360" s="693"/>
      <c r="G1360" s="693"/>
      <c r="H1360" s="693"/>
      <c r="I1360" s="693"/>
      <c r="J1360" s="693"/>
      <c r="K1360" s="693"/>
      <c r="L1360" s="693"/>
      <c r="M1360" s="693"/>
      <c r="N1360" s="693"/>
      <c r="O1360" s="693"/>
      <c r="P1360" s="693"/>
      <c r="Q1360" s="693"/>
    </row>
    <row r="1361" spans="1:17" ht="13.5">
      <c r="A1361" s="693"/>
      <c r="B1361" s="693"/>
      <c r="C1361" s="693"/>
      <c r="D1361" s="693"/>
      <c r="E1361" s="693"/>
      <c r="F1361" s="693"/>
      <c r="G1361" s="693"/>
      <c r="H1361" s="693"/>
      <c r="I1361" s="693"/>
      <c r="J1361" s="693"/>
      <c r="K1361" s="693"/>
      <c r="L1361" s="693"/>
      <c r="M1361" s="693"/>
      <c r="N1361" s="693"/>
      <c r="O1361" s="693"/>
      <c r="P1361" s="693"/>
      <c r="Q1361" s="693"/>
    </row>
    <row r="1362" spans="1:17" ht="13.5">
      <c r="A1362" s="693"/>
      <c r="B1362" s="693"/>
      <c r="C1362" s="693"/>
      <c r="D1362" s="693"/>
      <c r="E1362" s="693"/>
      <c r="F1362" s="693"/>
      <c r="G1362" s="693"/>
      <c r="H1362" s="693"/>
      <c r="I1362" s="693"/>
      <c r="J1362" s="693"/>
      <c r="K1362" s="693"/>
      <c r="L1362" s="693"/>
      <c r="M1362" s="693"/>
      <c r="N1362" s="693"/>
      <c r="O1362" s="693"/>
      <c r="P1362" s="693"/>
      <c r="Q1362" s="693"/>
    </row>
    <row r="1363" spans="1:17" ht="13.5">
      <c r="A1363" s="693"/>
      <c r="B1363" s="693"/>
      <c r="C1363" s="693"/>
      <c r="D1363" s="693"/>
      <c r="E1363" s="693"/>
      <c r="F1363" s="693"/>
      <c r="G1363" s="693"/>
      <c r="H1363" s="693"/>
      <c r="I1363" s="693"/>
      <c r="J1363" s="693"/>
      <c r="K1363" s="693"/>
      <c r="L1363" s="693"/>
      <c r="M1363" s="693"/>
      <c r="N1363" s="693"/>
      <c r="O1363" s="693"/>
      <c r="P1363" s="693"/>
      <c r="Q1363" s="693"/>
    </row>
    <row r="1364" spans="1:17" ht="13.5">
      <c r="A1364" s="693"/>
      <c r="B1364" s="693"/>
      <c r="C1364" s="693"/>
      <c r="D1364" s="693"/>
      <c r="E1364" s="693"/>
      <c r="F1364" s="693"/>
      <c r="G1364" s="693"/>
      <c r="H1364" s="693"/>
      <c r="I1364" s="693"/>
      <c r="J1364" s="693"/>
      <c r="K1364" s="693"/>
      <c r="L1364" s="693"/>
      <c r="M1364" s="693"/>
      <c r="N1364" s="693"/>
      <c r="O1364" s="693"/>
      <c r="P1364" s="693"/>
      <c r="Q1364" s="693"/>
    </row>
    <row r="1365" spans="1:17" ht="13.5">
      <c r="A1365" s="693"/>
      <c r="B1365" s="693"/>
      <c r="C1365" s="693"/>
      <c r="D1365" s="693"/>
      <c r="E1365" s="693"/>
      <c r="F1365" s="693"/>
      <c r="G1365" s="693"/>
      <c r="H1365" s="693"/>
      <c r="I1365" s="693"/>
      <c r="J1365" s="693"/>
      <c r="K1365" s="693"/>
      <c r="L1365" s="693"/>
      <c r="M1365" s="693"/>
      <c r="N1365" s="693"/>
      <c r="O1365" s="693"/>
      <c r="P1365" s="693"/>
      <c r="Q1365" s="693"/>
    </row>
    <row r="1366" spans="1:17" ht="13.5">
      <c r="A1366" s="693"/>
      <c r="B1366" s="693"/>
      <c r="C1366" s="693"/>
      <c r="D1366" s="693"/>
      <c r="E1366" s="693"/>
      <c r="F1366" s="693"/>
      <c r="G1366" s="693"/>
      <c r="H1366" s="693"/>
      <c r="I1366" s="693"/>
      <c r="J1366" s="693"/>
      <c r="K1366" s="693"/>
      <c r="L1366" s="693"/>
      <c r="M1366" s="693"/>
      <c r="N1366" s="693"/>
      <c r="O1366" s="693"/>
      <c r="P1366" s="693"/>
      <c r="Q1366" s="693"/>
    </row>
    <row r="1367" spans="1:17" ht="13.5">
      <c r="A1367" s="693"/>
      <c r="B1367" s="693"/>
      <c r="C1367" s="693"/>
      <c r="D1367" s="693"/>
      <c r="E1367" s="693"/>
      <c r="F1367" s="693"/>
      <c r="G1367" s="693"/>
      <c r="H1367" s="693"/>
      <c r="I1367" s="693"/>
      <c r="J1367" s="693"/>
      <c r="K1367" s="693"/>
      <c r="L1367" s="693"/>
      <c r="M1367" s="693"/>
      <c r="N1367" s="693"/>
      <c r="O1367" s="693"/>
      <c r="P1367" s="693"/>
      <c r="Q1367" s="693"/>
    </row>
    <row r="1368" spans="1:17" ht="13.5">
      <c r="A1368" s="693"/>
      <c r="B1368" s="693"/>
      <c r="C1368" s="693"/>
      <c r="D1368" s="693"/>
      <c r="E1368" s="693"/>
      <c r="F1368" s="693"/>
      <c r="G1368" s="693"/>
      <c r="H1368" s="693"/>
      <c r="I1368" s="693"/>
      <c r="J1368" s="693"/>
      <c r="K1368" s="693"/>
      <c r="L1368" s="693"/>
      <c r="M1368" s="693"/>
      <c r="N1368" s="693"/>
      <c r="O1368" s="693"/>
      <c r="P1368" s="693"/>
      <c r="Q1368" s="693"/>
    </row>
    <row r="1369" spans="1:17" ht="13.5">
      <c r="A1369" s="693"/>
      <c r="B1369" s="693"/>
      <c r="C1369" s="693"/>
      <c r="D1369" s="693"/>
      <c r="E1369" s="693"/>
      <c r="F1369" s="693"/>
      <c r="G1369" s="693"/>
      <c r="H1369" s="693"/>
      <c r="I1369" s="693"/>
      <c r="J1369" s="693"/>
      <c r="K1369" s="693"/>
      <c r="L1369" s="693"/>
      <c r="M1369" s="693"/>
      <c r="N1369" s="693"/>
      <c r="O1369" s="693"/>
      <c r="P1369" s="693"/>
      <c r="Q1369" s="693"/>
    </row>
    <row r="1370" spans="1:17" ht="13.5">
      <c r="A1370" s="693"/>
      <c r="B1370" s="693"/>
      <c r="C1370" s="693"/>
      <c r="D1370" s="693"/>
      <c r="E1370" s="693"/>
      <c r="F1370" s="693"/>
      <c r="G1370" s="693"/>
      <c r="H1370" s="693"/>
      <c r="I1370" s="693"/>
      <c r="J1370" s="693"/>
      <c r="K1370" s="693"/>
      <c r="L1370" s="693"/>
      <c r="M1370" s="693"/>
      <c r="N1370" s="693"/>
      <c r="O1370" s="693"/>
      <c r="P1370" s="693"/>
      <c r="Q1370" s="693"/>
    </row>
    <row r="1371" spans="1:17" ht="13.5">
      <c r="A1371" s="693"/>
      <c r="B1371" s="693"/>
      <c r="C1371" s="693"/>
      <c r="D1371" s="693"/>
      <c r="E1371" s="693"/>
      <c r="F1371" s="693"/>
      <c r="G1371" s="693"/>
      <c r="H1371" s="693"/>
      <c r="I1371" s="693"/>
      <c r="J1371" s="693"/>
      <c r="K1371" s="693"/>
      <c r="L1371" s="693"/>
      <c r="M1371" s="693"/>
      <c r="N1371" s="693"/>
      <c r="O1371" s="693"/>
      <c r="P1371" s="693"/>
      <c r="Q1371" s="693"/>
    </row>
    <row r="1372" spans="1:17" ht="13.5">
      <c r="A1372" s="693"/>
      <c r="B1372" s="693"/>
      <c r="C1372" s="693"/>
      <c r="D1372" s="693"/>
      <c r="E1372" s="693"/>
      <c r="F1372" s="693"/>
      <c r="G1372" s="693"/>
      <c r="H1372" s="693"/>
      <c r="I1372" s="693"/>
      <c r="J1372" s="693"/>
      <c r="K1372" s="693"/>
      <c r="L1372" s="693"/>
      <c r="M1372" s="693"/>
      <c r="N1372" s="693"/>
      <c r="O1372" s="693"/>
      <c r="P1372" s="693"/>
      <c r="Q1372" s="693"/>
    </row>
    <row r="1373" spans="1:17" ht="13.5">
      <c r="A1373" s="693"/>
      <c r="B1373" s="693"/>
      <c r="C1373" s="693"/>
      <c r="D1373" s="693"/>
      <c r="E1373" s="693"/>
      <c r="F1373" s="693"/>
      <c r="G1373" s="693"/>
      <c r="H1373" s="693"/>
      <c r="I1373" s="693"/>
      <c r="J1373" s="693"/>
      <c r="K1373" s="693"/>
      <c r="L1373" s="693"/>
      <c r="M1373" s="693"/>
      <c r="N1373" s="693"/>
      <c r="O1373" s="693"/>
      <c r="P1373" s="693"/>
      <c r="Q1373" s="693"/>
    </row>
    <row r="1374" spans="1:17" ht="13.5">
      <c r="A1374" s="693"/>
      <c r="B1374" s="693"/>
      <c r="C1374" s="693"/>
      <c r="D1374" s="693"/>
      <c r="E1374" s="693"/>
      <c r="F1374" s="693"/>
      <c r="G1374" s="693"/>
      <c r="H1374" s="693"/>
      <c r="I1374" s="693"/>
      <c r="J1374" s="693"/>
      <c r="K1374" s="693"/>
      <c r="L1374" s="693"/>
      <c r="M1374" s="693"/>
      <c r="N1374" s="693"/>
      <c r="O1374" s="693"/>
      <c r="P1374" s="693"/>
      <c r="Q1374" s="693"/>
    </row>
    <row r="1375" spans="1:17" ht="13.5">
      <c r="A1375" s="693"/>
      <c r="B1375" s="693"/>
      <c r="C1375" s="693"/>
      <c r="D1375" s="693"/>
      <c r="E1375" s="693"/>
      <c r="F1375" s="693"/>
      <c r="G1375" s="693"/>
      <c r="H1375" s="693"/>
      <c r="I1375" s="693"/>
      <c r="J1375" s="693"/>
      <c r="K1375" s="693"/>
      <c r="L1375" s="693"/>
      <c r="M1375" s="693"/>
      <c r="N1375" s="693"/>
      <c r="O1375" s="693"/>
      <c r="P1375" s="693"/>
      <c r="Q1375" s="693"/>
    </row>
    <row r="1376" spans="1:17" ht="13.5">
      <c r="A1376" s="693"/>
      <c r="B1376" s="693"/>
      <c r="C1376" s="693"/>
      <c r="D1376" s="693"/>
      <c r="E1376" s="693"/>
      <c r="F1376" s="693"/>
      <c r="G1376" s="693"/>
      <c r="H1376" s="693"/>
      <c r="I1376" s="693"/>
      <c r="J1376" s="693"/>
      <c r="K1376" s="693"/>
      <c r="L1376" s="693"/>
      <c r="M1376" s="693"/>
      <c r="N1376" s="693"/>
      <c r="O1376" s="693"/>
      <c r="P1376" s="693"/>
      <c r="Q1376" s="693"/>
    </row>
    <row r="1377" spans="1:17" ht="13.5">
      <c r="A1377" s="693"/>
      <c r="B1377" s="693"/>
      <c r="C1377" s="693"/>
      <c r="D1377" s="693"/>
      <c r="E1377" s="693"/>
      <c r="F1377" s="693"/>
      <c r="G1377" s="693"/>
      <c r="H1377" s="693"/>
      <c r="I1377" s="693"/>
      <c r="J1377" s="693"/>
      <c r="K1377" s="693"/>
      <c r="L1377" s="693"/>
      <c r="M1377" s="693"/>
      <c r="N1377" s="693"/>
      <c r="O1377" s="693"/>
      <c r="P1377" s="693"/>
      <c r="Q1377" s="693"/>
    </row>
    <row r="1378" spans="1:17" ht="13.5">
      <c r="A1378" s="693"/>
      <c r="B1378" s="693"/>
      <c r="C1378" s="693"/>
      <c r="D1378" s="693"/>
      <c r="E1378" s="693"/>
      <c r="F1378" s="693"/>
      <c r="G1378" s="693"/>
      <c r="H1378" s="693"/>
      <c r="I1378" s="693"/>
      <c r="J1378" s="693"/>
      <c r="K1378" s="693"/>
      <c r="L1378" s="693"/>
      <c r="M1378" s="693"/>
      <c r="N1378" s="693"/>
      <c r="O1378" s="693"/>
      <c r="P1378" s="693"/>
      <c r="Q1378" s="693"/>
    </row>
    <row r="1379" spans="1:17" ht="13.5">
      <c r="A1379" s="693"/>
      <c r="B1379" s="693"/>
      <c r="C1379" s="693"/>
      <c r="D1379" s="693"/>
      <c r="E1379" s="693"/>
      <c r="F1379" s="693"/>
      <c r="G1379" s="693"/>
      <c r="H1379" s="693"/>
      <c r="I1379" s="693"/>
      <c r="J1379" s="693"/>
      <c r="K1379" s="693"/>
      <c r="L1379" s="693"/>
      <c r="M1379" s="693"/>
      <c r="N1379" s="693"/>
      <c r="O1379" s="693"/>
      <c r="P1379" s="693"/>
      <c r="Q1379" s="693"/>
    </row>
    <row r="1380" spans="1:17" ht="13.5">
      <c r="A1380" s="693"/>
      <c r="B1380" s="693"/>
      <c r="C1380" s="693"/>
      <c r="D1380" s="693"/>
      <c r="E1380" s="693"/>
      <c r="F1380" s="693"/>
      <c r="G1380" s="693"/>
      <c r="H1380" s="693"/>
      <c r="I1380" s="693"/>
      <c r="J1380" s="693"/>
      <c r="K1380" s="693"/>
      <c r="L1380" s="693"/>
      <c r="M1380" s="693"/>
      <c r="N1380" s="693"/>
      <c r="O1380" s="693"/>
      <c r="P1380" s="693"/>
      <c r="Q1380" s="693"/>
    </row>
    <row r="1381" spans="1:17" ht="13.5">
      <c r="A1381" s="693"/>
      <c r="B1381" s="693"/>
      <c r="C1381" s="693"/>
      <c r="D1381" s="693"/>
      <c r="E1381" s="693"/>
      <c r="F1381" s="693"/>
      <c r="G1381" s="693"/>
      <c r="H1381" s="693"/>
      <c r="I1381" s="693"/>
      <c r="J1381" s="693"/>
      <c r="K1381" s="693"/>
      <c r="L1381" s="693"/>
      <c r="M1381" s="693"/>
      <c r="N1381" s="693"/>
      <c r="O1381" s="693"/>
      <c r="P1381" s="693"/>
      <c r="Q1381" s="693"/>
    </row>
    <row r="1382" spans="1:17" ht="13.5">
      <c r="A1382" s="693"/>
      <c r="B1382" s="693"/>
      <c r="C1382" s="693"/>
      <c r="D1382" s="693"/>
      <c r="E1382" s="693"/>
      <c r="F1382" s="693"/>
      <c r="G1382" s="693"/>
      <c r="H1382" s="693"/>
      <c r="I1382" s="693"/>
      <c r="J1382" s="693"/>
      <c r="K1382" s="693"/>
      <c r="L1382" s="693"/>
      <c r="M1382" s="693"/>
      <c r="N1382" s="693"/>
      <c r="O1382" s="693"/>
      <c r="P1382" s="693"/>
      <c r="Q1382" s="693"/>
    </row>
    <row r="1383" spans="1:17" ht="13.5">
      <c r="A1383" s="693"/>
      <c r="B1383" s="693"/>
      <c r="C1383" s="693"/>
      <c r="D1383" s="693"/>
      <c r="E1383" s="693"/>
      <c r="F1383" s="693"/>
      <c r="G1383" s="693"/>
      <c r="H1383" s="693"/>
      <c r="I1383" s="693"/>
      <c r="J1383" s="693"/>
      <c r="K1383" s="693"/>
      <c r="L1383" s="693"/>
      <c r="M1383" s="693"/>
      <c r="N1383" s="693"/>
      <c r="O1383" s="693"/>
      <c r="P1383" s="693"/>
      <c r="Q1383" s="693"/>
    </row>
    <row r="1384" spans="1:17" ht="13.5">
      <c r="A1384" s="693"/>
      <c r="B1384" s="693"/>
      <c r="C1384" s="693"/>
      <c r="D1384" s="693"/>
      <c r="E1384" s="693"/>
      <c r="F1384" s="693"/>
      <c r="G1384" s="693"/>
      <c r="H1384" s="693"/>
      <c r="I1384" s="693"/>
      <c r="J1384" s="693"/>
      <c r="K1384" s="693"/>
      <c r="L1384" s="693"/>
      <c r="M1384" s="693"/>
      <c r="N1384" s="693"/>
      <c r="O1384" s="693"/>
      <c r="P1384" s="693"/>
      <c r="Q1384" s="693"/>
    </row>
    <row r="1385" spans="1:17" ht="13.5">
      <c r="A1385" s="693"/>
      <c r="B1385" s="693"/>
      <c r="C1385" s="693"/>
      <c r="D1385" s="693"/>
      <c r="E1385" s="693"/>
      <c r="F1385" s="693"/>
      <c r="G1385" s="693"/>
      <c r="H1385" s="693"/>
      <c r="I1385" s="693"/>
      <c r="J1385" s="693"/>
      <c r="K1385" s="693"/>
      <c r="L1385" s="693"/>
      <c r="M1385" s="693"/>
      <c r="N1385" s="693"/>
      <c r="O1385" s="693"/>
      <c r="P1385" s="693"/>
      <c r="Q1385" s="693"/>
    </row>
    <row r="1386" spans="1:17" ht="13.5">
      <c r="A1386" s="693"/>
      <c r="B1386" s="693"/>
      <c r="C1386" s="693"/>
      <c r="D1386" s="693"/>
      <c r="E1386" s="693"/>
      <c r="F1386" s="693"/>
      <c r="G1386" s="693"/>
      <c r="H1386" s="693"/>
      <c r="I1386" s="693"/>
      <c r="J1386" s="693"/>
      <c r="K1386" s="693"/>
      <c r="L1386" s="693"/>
      <c r="M1386" s="693"/>
      <c r="N1386" s="693"/>
      <c r="O1386" s="693"/>
      <c r="P1386" s="693"/>
      <c r="Q1386" s="693"/>
    </row>
    <row r="1387" spans="1:17" ht="13.5">
      <c r="A1387" s="693"/>
      <c r="B1387" s="693"/>
      <c r="C1387" s="693"/>
      <c r="D1387" s="693"/>
      <c r="E1387" s="693"/>
      <c r="F1387" s="693"/>
      <c r="G1387" s="693"/>
      <c r="H1387" s="693"/>
      <c r="I1387" s="693"/>
      <c r="J1387" s="693"/>
      <c r="K1387" s="693"/>
      <c r="L1387" s="693"/>
      <c r="M1387" s="693"/>
      <c r="N1387" s="693"/>
      <c r="O1387" s="693"/>
      <c r="P1387" s="693"/>
      <c r="Q1387" s="693"/>
    </row>
    <row r="1388" spans="1:17" ht="13.5">
      <c r="A1388" s="693"/>
      <c r="B1388" s="693"/>
      <c r="C1388" s="693"/>
      <c r="D1388" s="693"/>
      <c r="E1388" s="693"/>
      <c r="F1388" s="693"/>
      <c r="G1388" s="693"/>
      <c r="H1388" s="693"/>
      <c r="I1388" s="693"/>
      <c r="J1388" s="693"/>
      <c r="K1388" s="693"/>
      <c r="L1388" s="693"/>
      <c r="M1388" s="693"/>
      <c r="N1388" s="693"/>
      <c r="O1388" s="693"/>
      <c r="P1388" s="693"/>
      <c r="Q1388" s="693"/>
    </row>
    <row r="1389" spans="1:17" ht="13.5">
      <c r="A1389" s="693"/>
      <c r="B1389" s="693"/>
      <c r="C1389" s="693"/>
      <c r="D1389" s="693"/>
      <c r="E1389" s="693"/>
      <c r="F1389" s="693"/>
      <c r="G1389" s="693"/>
      <c r="H1389" s="693"/>
      <c r="I1389" s="693"/>
      <c r="J1389" s="693"/>
      <c r="K1389" s="693"/>
      <c r="L1389" s="693"/>
      <c r="M1389" s="693"/>
      <c r="N1389" s="693"/>
      <c r="O1389" s="693"/>
      <c r="P1389" s="693"/>
      <c r="Q1389" s="693"/>
    </row>
    <row r="1390" spans="1:17" ht="13.5">
      <c r="A1390" s="693"/>
      <c r="B1390" s="693"/>
      <c r="C1390" s="693"/>
      <c r="D1390" s="693"/>
      <c r="E1390" s="693"/>
      <c r="F1390" s="693"/>
      <c r="G1390" s="693"/>
      <c r="H1390" s="693"/>
      <c r="I1390" s="693"/>
      <c r="J1390" s="693"/>
      <c r="K1390" s="693"/>
      <c r="L1390" s="693"/>
      <c r="M1390" s="693"/>
      <c r="N1390" s="693"/>
      <c r="O1390" s="693"/>
      <c r="P1390" s="693"/>
      <c r="Q1390" s="693"/>
    </row>
    <row r="1391" spans="1:17" ht="13.5">
      <c r="A1391" s="693"/>
      <c r="B1391" s="693"/>
      <c r="C1391" s="693"/>
      <c r="D1391" s="693"/>
      <c r="E1391" s="693"/>
      <c r="F1391" s="693"/>
      <c r="G1391" s="693"/>
      <c r="H1391" s="693"/>
      <c r="I1391" s="693"/>
      <c r="J1391" s="693"/>
      <c r="K1391" s="693"/>
      <c r="L1391" s="693"/>
      <c r="M1391" s="693"/>
      <c r="N1391" s="693"/>
      <c r="O1391" s="693"/>
      <c r="P1391" s="693"/>
      <c r="Q1391" s="693"/>
    </row>
    <row r="1392" spans="1:17" ht="13.5">
      <c r="A1392" s="693"/>
      <c r="B1392" s="693"/>
      <c r="C1392" s="693"/>
      <c r="D1392" s="693"/>
      <c r="E1392" s="693"/>
      <c r="F1392" s="693"/>
      <c r="G1392" s="693"/>
      <c r="H1392" s="693"/>
      <c r="I1392" s="693"/>
      <c r="J1392" s="693"/>
      <c r="K1392" s="693"/>
      <c r="L1392" s="693"/>
      <c r="M1392" s="693"/>
      <c r="N1392" s="693"/>
      <c r="O1392" s="693"/>
      <c r="P1392" s="693"/>
      <c r="Q1392" s="693"/>
    </row>
    <row r="1393" spans="1:17" ht="13.5">
      <c r="A1393" s="693"/>
      <c r="B1393" s="693"/>
      <c r="C1393" s="693"/>
      <c r="D1393" s="693"/>
      <c r="E1393" s="693"/>
      <c r="F1393" s="693"/>
      <c r="G1393" s="693"/>
      <c r="H1393" s="693"/>
      <c r="I1393" s="693"/>
      <c r="J1393" s="693"/>
      <c r="K1393" s="693"/>
      <c r="L1393" s="693"/>
      <c r="M1393" s="693"/>
      <c r="N1393" s="693"/>
      <c r="O1393" s="693"/>
      <c r="P1393" s="693"/>
      <c r="Q1393" s="693"/>
    </row>
    <row r="1394" spans="1:17" ht="13.5">
      <c r="A1394" s="693"/>
      <c r="B1394" s="693"/>
      <c r="C1394" s="693"/>
      <c r="D1394" s="693"/>
      <c r="E1394" s="693"/>
      <c r="F1394" s="693"/>
      <c r="G1394" s="693"/>
      <c r="H1394" s="693"/>
      <c r="I1394" s="693"/>
      <c r="J1394" s="693"/>
      <c r="K1394" s="693"/>
      <c r="L1394" s="693"/>
      <c r="M1394" s="693"/>
      <c r="N1394" s="693"/>
      <c r="O1394" s="693"/>
      <c r="P1394" s="693"/>
      <c r="Q1394" s="693"/>
    </row>
    <row r="1395" spans="1:17" ht="13.5">
      <c r="A1395" s="693"/>
      <c r="B1395" s="693"/>
      <c r="C1395" s="693"/>
      <c r="D1395" s="693"/>
      <c r="E1395" s="693"/>
      <c r="F1395" s="693"/>
      <c r="G1395" s="693"/>
      <c r="H1395" s="693"/>
      <c r="I1395" s="693"/>
      <c r="J1395" s="693"/>
      <c r="K1395" s="693"/>
      <c r="L1395" s="693"/>
      <c r="M1395" s="693"/>
      <c r="N1395" s="693"/>
      <c r="O1395" s="693"/>
      <c r="P1395" s="693"/>
      <c r="Q1395" s="693"/>
    </row>
    <row r="1396" spans="1:17" ht="13.5">
      <c r="A1396" s="693"/>
      <c r="B1396" s="693"/>
      <c r="C1396" s="693"/>
      <c r="D1396" s="693"/>
      <c r="E1396" s="693"/>
      <c r="F1396" s="693"/>
      <c r="G1396" s="693"/>
      <c r="H1396" s="693"/>
      <c r="I1396" s="693"/>
      <c r="J1396" s="693"/>
      <c r="K1396" s="693"/>
      <c r="L1396" s="693"/>
      <c r="M1396" s="693"/>
      <c r="N1396" s="693"/>
      <c r="O1396" s="693"/>
      <c r="P1396" s="693"/>
      <c r="Q1396" s="693"/>
    </row>
    <row r="1397" spans="1:17" ht="13.5">
      <c r="A1397" s="693"/>
      <c r="B1397" s="693"/>
      <c r="C1397" s="693"/>
      <c r="D1397" s="693"/>
      <c r="E1397" s="693"/>
      <c r="F1397" s="693"/>
      <c r="G1397" s="693"/>
      <c r="H1397" s="693"/>
      <c r="I1397" s="693"/>
      <c r="J1397" s="693"/>
      <c r="K1397" s="693"/>
      <c r="L1397" s="693"/>
      <c r="M1397" s="693"/>
      <c r="N1397" s="693"/>
      <c r="O1397" s="693"/>
      <c r="P1397" s="693"/>
      <c r="Q1397" s="693"/>
    </row>
    <row r="1398" spans="1:17" ht="13.5">
      <c r="A1398" s="693"/>
      <c r="B1398" s="693"/>
      <c r="C1398" s="693"/>
      <c r="D1398" s="693"/>
      <c r="E1398" s="693"/>
      <c r="F1398" s="693"/>
      <c r="G1398" s="693"/>
      <c r="H1398" s="693"/>
      <c r="I1398" s="693"/>
      <c r="J1398" s="693"/>
      <c r="K1398" s="693"/>
      <c r="L1398" s="693"/>
      <c r="M1398" s="693"/>
      <c r="N1398" s="693"/>
      <c r="O1398" s="693"/>
      <c r="P1398" s="693"/>
      <c r="Q1398" s="693"/>
    </row>
    <row r="1399" spans="1:17" ht="13.5">
      <c r="A1399" s="693"/>
      <c r="B1399" s="693"/>
      <c r="C1399" s="693"/>
      <c r="D1399" s="693"/>
      <c r="E1399" s="693"/>
      <c r="F1399" s="693"/>
      <c r="G1399" s="693"/>
      <c r="H1399" s="693"/>
      <c r="I1399" s="693"/>
      <c r="J1399" s="693"/>
      <c r="K1399" s="693"/>
      <c r="L1399" s="693"/>
      <c r="M1399" s="693"/>
      <c r="N1399" s="693"/>
      <c r="O1399" s="693"/>
      <c r="P1399" s="693"/>
      <c r="Q1399" s="693"/>
    </row>
    <row r="1400" spans="1:17" ht="13.5">
      <c r="A1400" s="693"/>
      <c r="B1400" s="693"/>
      <c r="C1400" s="693"/>
      <c r="D1400" s="693"/>
      <c r="E1400" s="693"/>
      <c r="F1400" s="693"/>
      <c r="G1400" s="693"/>
      <c r="H1400" s="693"/>
      <c r="I1400" s="693"/>
      <c r="J1400" s="693"/>
      <c r="K1400" s="693"/>
      <c r="L1400" s="693"/>
      <c r="M1400" s="693"/>
      <c r="N1400" s="693"/>
      <c r="O1400" s="693"/>
      <c r="P1400" s="693"/>
      <c r="Q1400" s="693"/>
    </row>
    <row r="1401" spans="1:17" ht="13.5">
      <c r="A1401" s="693"/>
      <c r="B1401" s="693"/>
      <c r="C1401" s="693"/>
      <c r="D1401" s="693"/>
      <c r="E1401" s="693"/>
      <c r="F1401" s="693"/>
      <c r="G1401" s="693"/>
      <c r="H1401" s="693"/>
      <c r="I1401" s="693"/>
      <c r="J1401" s="693"/>
      <c r="K1401" s="693"/>
      <c r="L1401" s="693"/>
      <c r="M1401" s="693"/>
      <c r="N1401" s="693"/>
      <c r="O1401" s="693"/>
      <c r="P1401" s="693"/>
      <c r="Q1401" s="693"/>
    </row>
    <row r="1402" spans="1:17" ht="13.5">
      <c r="A1402" s="693"/>
      <c r="B1402" s="693"/>
      <c r="C1402" s="693"/>
      <c r="D1402" s="693"/>
      <c r="E1402" s="693"/>
      <c r="F1402" s="693"/>
      <c r="G1402" s="693"/>
      <c r="H1402" s="693"/>
      <c r="I1402" s="693"/>
      <c r="J1402" s="693"/>
      <c r="K1402" s="693"/>
      <c r="L1402" s="693"/>
      <c r="M1402" s="693"/>
      <c r="N1402" s="693"/>
      <c r="O1402" s="693"/>
      <c r="P1402" s="693"/>
      <c r="Q1402" s="693"/>
    </row>
    <row r="1403" spans="1:17" ht="13.5">
      <c r="A1403" s="693"/>
      <c r="B1403" s="693"/>
      <c r="C1403" s="693"/>
      <c r="D1403" s="693"/>
      <c r="E1403" s="693"/>
      <c r="F1403" s="693"/>
      <c r="G1403" s="693"/>
      <c r="H1403" s="693"/>
      <c r="I1403" s="693"/>
      <c r="J1403" s="693"/>
      <c r="K1403" s="693"/>
      <c r="L1403" s="693"/>
      <c r="M1403" s="693"/>
      <c r="N1403" s="693"/>
      <c r="O1403" s="693"/>
      <c r="P1403" s="693"/>
      <c r="Q1403" s="693"/>
    </row>
    <row r="1404" spans="1:17" ht="13.5">
      <c r="A1404" s="693"/>
      <c r="B1404" s="693"/>
      <c r="C1404" s="693"/>
      <c r="D1404" s="693"/>
      <c r="E1404" s="693"/>
      <c r="F1404" s="693"/>
      <c r="G1404" s="693"/>
      <c r="H1404" s="693"/>
      <c r="I1404" s="693"/>
      <c r="J1404" s="693"/>
      <c r="K1404" s="693"/>
      <c r="L1404" s="693"/>
      <c r="M1404" s="693"/>
      <c r="N1404" s="693"/>
      <c r="O1404" s="693"/>
      <c r="P1404" s="693"/>
      <c r="Q1404" s="693"/>
    </row>
    <row r="1405" spans="1:17" ht="13.5">
      <c r="A1405" s="693"/>
      <c r="B1405" s="693"/>
      <c r="C1405" s="693"/>
      <c r="D1405" s="693"/>
      <c r="E1405" s="693"/>
      <c r="F1405" s="693"/>
      <c r="G1405" s="693"/>
      <c r="H1405" s="693"/>
      <c r="I1405" s="693"/>
      <c r="J1405" s="693"/>
      <c r="K1405" s="693"/>
      <c r="L1405" s="693"/>
      <c r="M1405" s="693"/>
      <c r="N1405" s="693"/>
      <c r="O1405" s="693"/>
      <c r="P1405" s="693"/>
      <c r="Q1405" s="693"/>
    </row>
    <row r="1406" spans="1:17" ht="13.5">
      <c r="A1406" s="693"/>
      <c r="B1406" s="693"/>
      <c r="C1406" s="693"/>
      <c r="D1406" s="693"/>
      <c r="E1406" s="693"/>
      <c r="F1406" s="693"/>
      <c r="G1406" s="693"/>
      <c r="H1406" s="693"/>
      <c r="I1406" s="693"/>
      <c r="J1406" s="693"/>
      <c r="K1406" s="693"/>
      <c r="L1406" s="693"/>
      <c r="M1406" s="693"/>
      <c r="N1406" s="693"/>
      <c r="O1406" s="693"/>
      <c r="P1406" s="693"/>
      <c r="Q1406" s="693"/>
    </row>
    <row r="1407" spans="1:17" ht="13.5">
      <c r="A1407" s="693"/>
      <c r="B1407" s="693"/>
      <c r="C1407" s="693"/>
      <c r="D1407" s="693"/>
      <c r="E1407" s="693"/>
      <c r="F1407" s="693"/>
      <c r="G1407" s="693"/>
      <c r="H1407" s="693"/>
      <c r="I1407" s="693"/>
      <c r="J1407" s="693"/>
      <c r="K1407" s="693"/>
      <c r="L1407" s="693"/>
      <c r="M1407" s="693"/>
      <c r="N1407" s="693"/>
      <c r="O1407" s="693"/>
      <c r="P1407" s="693"/>
      <c r="Q1407" s="693"/>
    </row>
    <row r="1408" spans="1:17" ht="13.5">
      <c r="A1408" s="693"/>
      <c r="B1408" s="693"/>
      <c r="C1408" s="693"/>
      <c r="D1408" s="693"/>
      <c r="E1408" s="693"/>
      <c r="F1408" s="693"/>
      <c r="G1408" s="693"/>
      <c r="H1408" s="693"/>
      <c r="I1408" s="693"/>
      <c r="J1408" s="693"/>
      <c r="K1408" s="693"/>
      <c r="L1408" s="693"/>
      <c r="M1408" s="693"/>
      <c r="N1408" s="693"/>
      <c r="O1408" s="693"/>
      <c r="P1408" s="693"/>
      <c r="Q1408" s="693"/>
    </row>
    <row r="1409" spans="1:17" ht="13.5">
      <c r="A1409" s="693"/>
      <c r="B1409" s="693"/>
      <c r="C1409" s="693"/>
      <c r="D1409" s="693"/>
      <c r="E1409" s="693"/>
      <c r="F1409" s="693"/>
      <c r="G1409" s="693"/>
      <c r="H1409" s="693"/>
      <c r="I1409" s="693"/>
      <c r="J1409" s="693"/>
      <c r="K1409" s="693"/>
      <c r="L1409" s="693"/>
      <c r="M1409" s="693"/>
      <c r="N1409" s="693"/>
      <c r="O1409" s="693"/>
      <c r="P1409" s="693"/>
      <c r="Q1409" s="693"/>
    </row>
    <row r="1410" spans="1:17" ht="13.5">
      <c r="A1410" s="693"/>
      <c r="B1410" s="693"/>
      <c r="C1410" s="693"/>
      <c r="D1410" s="693"/>
      <c r="E1410" s="693"/>
      <c r="F1410" s="693"/>
      <c r="G1410" s="693"/>
      <c r="H1410" s="693"/>
      <c r="I1410" s="693"/>
      <c r="J1410" s="693"/>
      <c r="K1410" s="693"/>
      <c r="L1410" s="693"/>
      <c r="M1410" s="693"/>
      <c r="N1410" s="693"/>
      <c r="O1410" s="693"/>
      <c r="P1410" s="693"/>
      <c r="Q1410" s="693"/>
    </row>
    <row r="1411" spans="1:17" ht="13.5">
      <c r="A1411" s="693"/>
      <c r="B1411" s="693"/>
      <c r="C1411" s="693"/>
      <c r="D1411" s="693"/>
      <c r="E1411" s="693"/>
      <c r="F1411" s="693"/>
      <c r="G1411" s="693"/>
      <c r="H1411" s="693"/>
      <c r="I1411" s="693"/>
      <c r="J1411" s="693"/>
      <c r="K1411" s="693"/>
      <c r="L1411" s="693"/>
      <c r="M1411" s="693"/>
      <c r="N1411" s="693"/>
      <c r="O1411" s="693"/>
      <c r="P1411" s="693"/>
      <c r="Q1411" s="693"/>
    </row>
    <row r="1412" spans="1:17" ht="13.5">
      <c r="A1412" s="693"/>
      <c r="B1412" s="693"/>
      <c r="C1412" s="693"/>
      <c r="D1412" s="693"/>
      <c r="E1412" s="693"/>
      <c r="F1412" s="693"/>
      <c r="G1412" s="693"/>
      <c r="H1412" s="693"/>
      <c r="I1412" s="693"/>
      <c r="J1412" s="693"/>
      <c r="K1412" s="693"/>
      <c r="L1412" s="693"/>
      <c r="M1412" s="693"/>
      <c r="N1412" s="693"/>
      <c r="O1412" s="693"/>
      <c r="P1412" s="693"/>
      <c r="Q1412" s="693"/>
    </row>
    <row r="1413" spans="1:17" ht="13.5">
      <c r="A1413" s="693"/>
      <c r="B1413" s="693"/>
      <c r="C1413" s="693"/>
      <c r="D1413" s="693"/>
      <c r="E1413" s="693"/>
      <c r="F1413" s="693"/>
      <c r="G1413" s="693"/>
      <c r="H1413" s="693"/>
      <c r="I1413" s="693"/>
      <c r="J1413" s="693"/>
      <c r="K1413" s="693"/>
      <c r="L1413" s="693"/>
      <c r="M1413" s="693"/>
      <c r="N1413" s="693"/>
      <c r="O1413" s="693"/>
      <c r="P1413" s="693"/>
      <c r="Q1413" s="693"/>
    </row>
    <row r="1414" spans="1:17" ht="13.5">
      <c r="A1414" s="693"/>
      <c r="B1414" s="693"/>
      <c r="C1414" s="693"/>
      <c r="D1414" s="693"/>
      <c r="E1414" s="693"/>
      <c r="F1414" s="693"/>
      <c r="G1414" s="693"/>
      <c r="H1414" s="693"/>
      <c r="I1414" s="693"/>
      <c r="J1414" s="693"/>
      <c r="K1414" s="693"/>
      <c r="L1414" s="693"/>
      <c r="M1414" s="693"/>
      <c r="N1414" s="693"/>
      <c r="O1414" s="693"/>
      <c r="P1414" s="693"/>
      <c r="Q1414" s="693"/>
    </row>
    <row r="1415" spans="1:17" ht="13.5">
      <c r="A1415" s="693"/>
      <c r="B1415" s="693"/>
      <c r="C1415" s="693"/>
      <c r="D1415" s="693"/>
      <c r="E1415" s="693"/>
      <c r="F1415" s="693"/>
      <c r="G1415" s="693"/>
      <c r="H1415" s="693"/>
      <c r="I1415" s="693"/>
      <c r="J1415" s="693"/>
      <c r="K1415" s="693"/>
      <c r="L1415" s="693"/>
      <c r="M1415" s="693"/>
      <c r="N1415" s="693"/>
      <c r="O1415" s="693"/>
      <c r="P1415" s="693"/>
      <c r="Q1415" s="693"/>
    </row>
    <row r="1416" spans="1:17" ht="13.5">
      <c r="A1416" s="693"/>
      <c r="B1416" s="693"/>
      <c r="C1416" s="693"/>
      <c r="D1416" s="693"/>
      <c r="E1416" s="693"/>
      <c r="F1416" s="693"/>
      <c r="G1416" s="693"/>
      <c r="H1416" s="693"/>
      <c r="I1416" s="693"/>
      <c r="J1416" s="693"/>
      <c r="K1416" s="693"/>
      <c r="L1416" s="693"/>
      <c r="M1416" s="693"/>
      <c r="N1416" s="693"/>
      <c r="O1416" s="693"/>
      <c r="P1416" s="693"/>
      <c r="Q1416" s="693"/>
    </row>
    <row r="1417" spans="1:17" ht="13.5">
      <c r="A1417" s="693"/>
      <c r="B1417" s="693"/>
      <c r="C1417" s="693"/>
      <c r="D1417" s="693"/>
      <c r="E1417" s="693"/>
      <c r="F1417" s="693"/>
      <c r="G1417" s="693"/>
      <c r="H1417" s="693"/>
      <c r="I1417" s="693"/>
      <c r="J1417" s="693"/>
      <c r="K1417" s="693"/>
      <c r="L1417" s="693"/>
      <c r="M1417" s="693"/>
      <c r="N1417" s="693"/>
      <c r="O1417" s="693"/>
      <c r="P1417" s="693"/>
      <c r="Q1417" s="693"/>
    </row>
    <row r="1418" spans="1:17" ht="13.5">
      <c r="A1418" s="693"/>
      <c r="B1418" s="693"/>
      <c r="C1418" s="693"/>
      <c r="D1418" s="693"/>
      <c r="E1418" s="693"/>
      <c r="F1418" s="693"/>
      <c r="G1418" s="693"/>
      <c r="H1418" s="693"/>
      <c r="I1418" s="693"/>
      <c r="J1418" s="693"/>
      <c r="K1418" s="693"/>
      <c r="L1418" s="693"/>
      <c r="M1418" s="693"/>
      <c r="N1418" s="693"/>
      <c r="O1418" s="693"/>
      <c r="P1418" s="693"/>
      <c r="Q1418" s="693"/>
    </row>
    <row r="1419" spans="1:17" ht="13.5">
      <c r="A1419" s="693"/>
      <c r="B1419" s="693"/>
      <c r="C1419" s="693"/>
      <c r="D1419" s="693"/>
      <c r="E1419" s="693"/>
      <c r="F1419" s="693"/>
      <c r="G1419" s="693"/>
      <c r="H1419" s="693"/>
      <c r="I1419" s="693"/>
      <c r="J1419" s="693"/>
      <c r="K1419" s="693"/>
      <c r="L1419" s="693"/>
      <c r="M1419" s="693"/>
      <c r="N1419" s="693"/>
      <c r="O1419" s="693"/>
      <c r="P1419" s="693"/>
      <c r="Q1419" s="693"/>
    </row>
    <row r="1420" spans="1:17" ht="13.5">
      <c r="A1420" s="693"/>
      <c r="B1420" s="693"/>
      <c r="C1420" s="693"/>
      <c r="D1420" s="693"/>
      <c r="E1420" s="693"/>
      <c r="F1420" s="693"/>
      <c r="G1420" s="693"/>
      <c r="H1420" s="693"/>
      <c r="I1420" s="693"/>
      <c r="J1420" s="693"/>
      <c r="K1420" s="693"/>
      <c r="L1420" s="693"/>
      <c r="M1420" s="693"/>
      <c r="N1420" s="693"/>
      <c r="O1420" s="693"/>
      <c r="P1420" s="693"/>
      <c r="Q1420" s="693"/>
    </row>
    <row r="1421" spans="1:17" ht="13.5">
      <c r="A1421" s="693"/>
      <c r="B1421" s="693"/>
      <c r="C1421" s="693"/>
      <c r="D1421" s="693"/>
      <c r="E1421" s="693"/>
      <c r="F1421" s="693"/>
      <c r="G1421" s="693"/>
      <c r="H1421" s="693"/>
      <c r="I1421" s="693"/>
      <c r="J1421" s="693"/>
      <c r="K1421" s="693"/>
      <c r="L1421" s="693"/>
      <c r="M1421" s="693"/>
      <c r="N1421" s="693"/>
      <c r="O1421" s="693"/>
      <c r="P1421" s="693"/>
      <c r="Q1421" s="693"/>
    </row>
    <row r="1422" spans="1:17" ht="13.5">
      <c r="A1422" s="693"/>
      <c r="B1422" s="693"/>
      <c r="C1422" s="693"/>
      <c r="D1422" s="693"/>
      <c r="E1422" s="693"/>
      <c r="F1422" s="693"/>
      <c r="G1422" s="693"/>
      <c r="H1422" s="693"/>
      <c r="I1422" s="693"/>
      <c r="J1422" s="693"/>
      <c r="K1422" s="693"/>
      <c r="L1422" s="693"/>
      <c r="M1422" s="693"/>
      <c r="N1422" s="693"/>
      <c r="O1422" s="693"/>
      <c r="P1422" s="693"/>
      <c r="Q1422" s="693"/>
    </row>
    <row r="1423" spans="1:17" ht="13.5">
      <c r="A1423" s="693"/>
      <c r="B1423" s="693"/>
      <c r="C1423" s="693"/>
      <c r="D1423" s="693"/>
      <c r="E1423" s="693"/>
      <c r="F1423" s="693"/>
      <c r="G1423" s="693"/>
      <c r="H1423" s="693"/>
      <c r="I1423" s="693"/>
      <c r="J1423" s="693"/>
      <c r="K1423" s="693"/>
      <c r="L1423" s="693"/>
      <c r="M1423" s="693"/>
      <c r="N1423" s="693"/>
      <c r="O1423" s="693"/>
      <c r="P1423" s="693"/>
      <c r="Q1423" s="693"/>
    </row>
    <row r="1424" spans="1:17" ht="13.5">
      <c r="A1424" s="693"/>
      <c r="B1424" s="693"/>
      <c r="C1424" s="693"/>
      <c r="D1424" s="693"/>
      <c r="E1424" s="693"/>
      <c r="F1424" s="693"/>
      <c r="G1424" s="693"/>
      <c r="H1424" s="693"/>
      <c r="I1424" s="693"/>
      <c r="J1424" s="693"/>
      <c r="K1424" s="693"/>
      <c r="L1424" s="693"/>
      <c r="M1424" s="693"/>
      <c r="N1424" s="693"/>
      <c r="O1424" s="693"/>
      <c r="P1424" s="693"/>
      <c r="Q1424" s="693"/>
    </row>
    <row r="1425" spans="1:17" ht="13.5">
      <c r="A1425" s="693"/>
      <c r="B1425" s="693"/>
      <c r="C1425" s="693"/>
      <c r="D1425" s="693"/>
      <c r="E1425" s="693"/>
      <c r="F1425" s="693"/>
      <c r="G1425" s="693"/>
      <c r="H1425" s="693"/>
      <c r="I1425" s="693"/>
      <c r="J1425" s="693"/>
      <c r="K1425" s="693"/>
      <c r="L1425" s="693"/>
      <c r="M1425" s="693"/>
      <c r="N1425" s="693"/>
      <c r="O1425" s="693"/>
      <c r="P1425" s="693"/>
      <c r="Q1425" s="693"/>
    </row>
    <row r="1426" spans="1:17" ht="13.5">
      <c r="A1426" s="693"/>
      <c r="B1426" s="693"/>
      <c r="C1426" s="693"/>
      <c r="D1426" s="693"/>
      <c r="E1426" s="693"/>
      <c r="F1426" s="693"/>
      <c r="G1426" s="693"/>
      <c r="H1426" s="693"/>
      <c r="I1426" s="693"/>
      <c r="J1426" s="693"/>
      <c r="K1426" s="693"/>
      <c r="L1426" s="693"/>
      <c r="M1426" s="693"/>
      <c r="N1426" s="693"/>
      <c r="O1426" s="693"/>
      <c r="P1426" s="693"/>
      <c r="Q1426" s="693"/>
    </row>
    <row r="1427" spans="1:17" ht="13.5">
      <c r="A1427" s="693"/>
      <c r="B1427" s="693"/>
      <c r="C1427" s="693"/>
      <c r="D1427" s="693"/>
      <c r="E1427" s="693"/>
      <c r="F1427" s="693"/>
      <c r="G1427" s="693"/>
      <c r="H1427" s="693"/>
      <c r="I1427" s="693"/>
      <c r="J1427" s="693"/>
      <c r="K1427" s="693"/>
      <c r="L1427" s="693"/>
      <c r="M1427" s="693"/>
      <c r="N1427" s="693"/>
      <c r="O1427" s="693"/>
      <c r="P1427" s="693"/>
      <c r="Q1427" s="693"/>
    </row>
    <row r="1428" spans="1:17" ht="13.5">
      <c r="A1428" s="693"/>
      <c r="B1428" s="693"/>
      <c r="C1428" s="693"/>
      <c r="D1428" s="693"/>
      <c r="E1428" s="693"/>
      <c r="F1428" s="693"/>
      <c r="G1428" s="693"/>
      <c r="H1428" s="693"/>
      <c r="I1428" s="693"/>
      <c r="J1428" s="693"/>
      <c r="K1428" s="693"/>
      <c r="L1428" s="693"/>
      <c r="M1428" s="693"/>
      <c r="N1428" s="693"/>
      <c r="O1428" s="693"/>
      <c r="P1428" s="693"/>
      <c r="Q1428" s="693"/>
    </row>
    <row r="1429" spans="1:17" ht="13.5">
      <c r="A1429" s="693"/>
      <c r="B1429" s="693"/>
      <c r="C1429" s="693"/>
      <c r="D1429" s="693"/>
      <c r="E1429" s="693"/>
      <c r="F1429" s="693"/>
      <c r="G1429" s="693"/>
      <c r="H1429" s="693"/>
      <c r="I1429" s="693"/>
      <c r="J1429" s="693"/>
      <c r="K1429" s="693"/>
      <c r="L1429" s="693"/>
      <c r="M1429" s="693"/>
      <c r="N1429" s="693"/>
      <c r="O1429" s="693"/>
      <c r="P1429" s="693"/>
      <c r="Q1429" s="693"/>
    </row>
    <row r="1430" spans="1:17" ht="13.5">
      <c r="A1430" s="693"/>
      <c r="B1430" s="693"/>
      <c r="C1430" s="693"/>
      <c r="D1430" s="693"/>
      <c r="E1430" s="693"/>
      <c r="F1430" s="693"/>
      <c r="G1430" s="693"/>
      <c r="H1430" s="693"/>
      <c r="I1430" s="693"/>
      <c r="J1430" s="693"/>
      <c r="K1430" s="693"/>
      <c r="L1430" s="693"/>
      <c r="M1430" s="693"/>
      <c r="N1430" s="693"/>
      <c r="O1430" s="693"/>
      <c r="P1430" s="693"/>
      <c r="Q1430" s="693"/>
    </row>
    <row r="1431" spans="1:17" ht="13.5">
      <c r="A1431" s="693"/>
      <c r="B1431" s="693"/>
      <c r="C1431" s="693"/>
      <c r="D1431" s="693"/>
      <c r="E1431" s="693"/>
      <c r="F1431" s="693"/>
      <c r="G1431" s="693"/>
      <c r="H1431" s="693"/>
      <c r="I1431" s="693"/>
      <c r="J1431" s="693"/>
      <c r="K1431" s="693"/>
      <c r="L1431" s="693"/>
      <c r="M1431" s="693"/>
      <c r="N1431" s="693"/>
      <c r="O1431" s="693"/>
      <c r="P1431" s="693"/>
      <c r="Q1431" s="693"/>
    </row>
    <row r="1432" spans="1:17" ht="13.5">
      <c r="A1432" s="693"/>
      <c r="B1432" s="693"/>
      <c r="C1432" s="693"/>
      <c r="D1432" s="693"/>
      <c r="E1432" s="693"/>
      <c r="F1432" s="693"/>
      <c r="G1432" s="693"/>
      <c r="H1432" s="693"/>
      <c r="I1432" s="693"/>
      <c r="J1432" s="693"/>
      <c r="K1432" s="693"/>
      <c r="L1432" s="693"/>
      <c r="M1432" s="693"/>
      <c r="N1432" s="693"/>
      <c r="O1432" s="693"/>
      <c r="P1432" s="693"/>
      <c r="Q1432" s="693"/>
    </row>
    <row r="1433" spans="1:17" ht="13.5">
      <c r="A1433" s="693"/>
      <c r="B1433" s="693"/>
      <c r="C1433" s="693"/>
      <c r="D1433" s="693"/>
      <c r="E1433" s="693"/>
      <c r="F1433" s="693"/>
      <c r="G1433" s="693"/>
      <c r="H1433" s="693"/>
      <c r="I1433" s="693"/>
      <c r="J1433" s="693"/>
      <c r="K1433" s="693"/>
      <c r="L1433" s="693"/>
      <c r="M1433" s="693"/>
      <c r="N1433" s="693"/>
      <c r="O1433" s="693"/>
      <c r="P1433" s="693"/>
      <c r="Q1433" s="693"/>
    </row>
    <row r="1434" spans="1:17" ht="13.5">
      <c r="A1434" s="693"/>
      <c r="B1434" s="693"/>
      <c r="C1434" s="693"/>
      <c r="D1434" s="693"/>
      <c r="E1434" s="693"/>
      <c r="F1434" s="693"/>
      <c r="G1434" s="693"/>
      <c r="H1434" s="693"/>
      <c r="I1434" s="693"/>
      <c r="J1434" s="693"/>
      <c r="K1434" s="693"/>
      <c r="L1434" s="693"/>
      <c r="M1434" s="693"/>
      <c r="N1434" s="693"/>
      <c r="O1434" s="693"/>
      <c r="P1434" s="693"/>
      <c r="Q1434" s="693"/>
    </row>
    <row r="1435" spans="1:17" ht="13.5">
      <c r="A1435" s="693"/>
      <c r="B1435" s="693"/>
      <c r="C1435" s="693"/>
      <c r="D1435" s="693"/>
      <c r="E1435" s="693"/>
      <c r="F1435" s="693"/>
      <c r="G1435" s="693"/>
      <c r="H1435" s="693"/>
      <c r="I1435" s="693"/>
      <c r="J1435" s="693"/>
      <c r="K1435" s="693"/>
      <c r="L1435" s="693"/>
      <c r="M1435" s="693"/>
      <c r="N1435" s="693"/>
      <c r="O1435" s="693"/>
      <c r="P1435" s="693"/>
      <c r="Q1435" s="693"/>
    </row>
    <row r="1436" spans="1:17" ht="13.5">
      <c r="A1436" s="693"/>
      <c r="B1436" s="693"/>
      <c r="C1436" s="693"/>
      <c r="D1436" s="693"/>
      <c r="E1436" s="693"/>
      <c r="F1436" s="693"/>
      <c r="G1436" s="693"/>
      <c r="H1436" s="693"/>
      <c r="I1436" s="693"/>
      <c r="J1436" s="693"/>
      <c r="K1436" s="693"/>
      <c r="L1436" s="693"/>
      <c r="M1436" s="693"/>
      <c r="N1436" s="693"/>
      <c r="O1436" s="693"/>
      <c r="P1436" s="693"/>
      <c r="Q1436" s="693"/>
    </row>
    <row r="1437" spans="1:17" ht="13.5">
      <c r="A1437" s="693"/>
      <c r="B1437" s="693"/>
      <c r="C1437" s="693"/>
      <c r="D1437" s="693"/>
      <c r="E1437" s="693"/>
      <c r="F1437" s="693"/>
      <c r="G1437" s="693"/>
      <c r="H1437" s="693"/>
      <c r="I1437" s="693"/>
      <c r="J1437" s="693"/>
      <c r="K1437" s="693"/>
      <c r="L1437" s="693"/>
      <c r="M1437" s="693"/>
      <c r="N1437" s="693"/>
      <c r="O1437" s="693"/>
      <c r="P1437" s="693"/>
      <c r="Q1437" s="693"/>
    </row>
    <row r="1438" spans="1:17" ht="13.5">
      <c r="A1438" s="693"/>
      <c r="B1438" s="693"/>
      <c r="C1438" s="693"/>
      <c r="D1438" s="693"/>
      <c r="E1438" s="693"/>
      <c r="F1438" s="693"/>
      <c r="G1438" s="693"/>
      <c r="H1438" s="693"/>
      <c r="I1438" s="693"/>
      <c r="J1438" s="693"/>
      <c r="K1438" s="693"/>
      <c r="L1438" s="693"/>
      <c r="M1438" s="693"/>
      <c r="N1438" s="693"/>
      <c r="O1438" s="693"/>
      <c r="P1438" s="693"/>
      <c r="Q1438" s="693"/>
    </row>
    <row r="1439" spans="1:17" ht="13.5">
      <c r="A1439" s="693"/>
      <c r="B1439" s="693"/>
      <c r="C1439" s="693"/>
      <c r="D1439" s="693"/>
      <c r="E1439" s="693"/>
      <c r="F1439" s="693"/>
      <c r="G1439" s="693"/>
      <c r="H1439" s="693"/>
      <c r="I1439" s="693"/>
      <c r="J1439" s="693"/>
      <c r="K1439" s="693"/>
      <c r="L1439" s="693"/>
      <c r="M1439" s="693"/>
      <c r="N1439" s="693"/>
      <c r="O1439" s="693"/>
      <c r="P1439" s="693"/>
      <c r="Q1439" s="693"/>
    </row>
    <row r="1440" spans="1:17" ht="13.5">
      <c r="A1440" s="693"/>
      <c r="B1440" s="693"/>
      <c r="C1440" s="693"/>
      <c r="D1440" s="693"/>
      <c r="E1440" s="693"/>
      <c r="F1440" s="693"/>
      <c r="G1440" s="693"/>
      <c r="H1440" s="693"/>
      <c r="I1440" s="693"/>
      <c r="J1440" s="693"/>
      <c r="K1440" s="693"/>
      <c r="L1440" s="693"/>
      <c r="M1440" s="693"/>
      <c r="N1440" s="693"/>
      <c r="O1440" s="693"/>
      <c r="P1440" s="693"/>
      <c r="Q1440" s="693"/>
    </row>
    <row r="1441" spans="1:17" ht="13.5">
      <c r="A1441" s="693"/>
      <c r="B1441" s="693"/>
      <c r="C1441" s="693"/>
      <c r="D1441" s="693"/>
      <c r="E1441" s="693"/>
      <c r="F1441" s="693"/>
      <c r="G1441" s="693"/>
      <c r="H1441" s="693"/>
      <c r="I1441" s="693"/>
      <c r="J1441" s="693"/>
      <c r="K1441" s="693"/>
      <c r="L1441" s="693"/>
      <c r="M1441" s="693"/>
      <c r="N1441" s="693"/>
      <c r="O1441" s="693"/>
      <c r="P1441" s="693"/>
      <c r="Q1441" s="693"/>
    </row>
    <row r="1442" spans="1:17" ht="13.5">
      <c r="A1442" s="693"/>
      <c r="B1442" s="693"/>
      <c r="C1442" s="693"/>
      <c r="D1442" s="693"/>
      <c r="E1442" s="693"/>
      <c r="F1442" s="693"/>
      <c r="G1442" s="693"/>
      <c r="H1442" s="693"/>
      <c r="I1442" s="693"/>
      <c r="J1442" s="693"/>
      <c r="K1442" s="693"/>
      <c r="L1442" s="693"/>
      <c r="M1442" s="693"/>
      <c r="N1442" s="693"/>
      <c r="O1442" s="693"/>
      <c r="P1442" s="693"/>
      <c r="Q1442" s="693"/>
    </row>
    <row r="1443" spans="1:17" ht="13.5">
      <c r="A1443" s="693"/>
      <c r="B1443" s="693"/>
      <c r="C1443" s="693"/>
      <c r="D1443" s="693"/>
      <c r="E1443" s="693"/>
      <c r="F1443" s="693"/>
      <c r="G1443" s="693"/>
      <c r="H1443" s="693"/>
      <c r="I1443" s="693"/>
      <c r="J1443" s="693"/>
      <c r="K1443" s="693"/>
      <c r="L1443" s="693"/>
      <c r="M1443" s="693"/>
      <c r="N1443" s="693"/>
      <c r="O1443" s="693"/>
      <c r="P1443" s="693"/>
      <c r="Q1443" s="693"/>
    </row>
    <row r="1444" spans="1:17" ht="13.5">
      <c r="A1444" s="693"/>
      <c r="B1444" s="693"/>
      <c r="C1444" s="693"/>
      <c r="D1444" s="693"/>
      <c r="E1444" s="693"/>
      <c r="F1444" s="693"/>
      <c r="G1444" s="693"/>
      <c r="H1444" s="693"/>
      <c r="I1444" s="693"/>
      <c r="J1444" s="693"/>
      <c r="K1444" s="693"/>
      <c r="L1444" s="693"/>
      <c r="M1444" s="693"/>
      <c r="N1444" s="693"/>
      <c r="O1444" s="693"/>
      <c r="P1444" s="693"/>
      <c r="Q1444" s="693"/>
    </row>
    <row r="1445" spans="1:17" ht="13.5">
      <c r="A1445" s="693"/>
      <c r="B1445" s="693"/>
      <c r="C1445" s="693"/>
      <c r="D1445" s="693"/>
      <c r="E1445" s="693"/>
      <c r="F1445" s="693"/>
      <c r="G1445" s="693"/>
      <c r="H1445" s="693"/>
      <c r="I1445" s="693"/>
      <c r="J1445" s="693"/>
      <c r="K1445" s="693"/>
      <c r="L1445" s="693"/>
      <c r="M1445" s="693"/>
      <c r="N1445" s="693"/>
      <c r="O1445" s="693"/>
      <c r="P1445" s="693"/>
      <c r="Q1445" s="693"/>
    </row>
    <row r="1446" spans="1:17" ht="13.5">
      <c r="A1446" s="693"/>
      <c r="B1446" s="693"/>
      <c r="C1446" s="693"/>
      <c r="D1446" s="693"/>
      <c r="E1446" s="693"/>
      <c r="F1446" s="693"/>
      <c r="G1446" s="693"/>
      <c r="H1446" s="693"/>
      <c r="I1446" s="693"/>
      <c r="J1446" s="693"/>
      <c r="K1446" s="693"/>
      <c r="L1446" s="693"/>
      <c r="M1446" s="693"/>
      <c r="N1446" s="693"/>
      <c r="O1446" s="693"/>
      <c r="P1446" s="693"/>
      <c r="Q1446" s="693"/>
    </row>
    <row r="1447" spans="1:17" ht="13.5">
      <c r="A1447" s="693"/>
      <c r="B1447" s="693"/>
      <c r="C1447" s="693"/>
      <c r="D1447" s="693"/>
      <c r="E1447" s="693"/>
      <c r="F1447" s="693"/>
      <c r="G1447" s="693"/>
      <c r="H1447" s="693"/>
      <c r="I1447" s="693"/>
      <c r="J1447" s="693"/>
      <c r="K1447" s="693"/>
      <c r="L1447" s="693"/>
      <c r="M1447" s="693"/>
      <c r="N1447" s="693"/>
      <c r="O1447" s="693"/>
      <c r="P1447" s="693"/>
      <c r="Q1447" s="693"/>
    </row>
    <row r="1448" spans="1:17" ht="13.5">
      <c r="A1448" s="693"/>
      <c r="B1448" s="693"/>
      <c r="C1448" s="693"/>
      <c r="D1448" s="693"/>
      <c r="E1448" s="693"/>
      <c r="F1448" s="693"/>
      <c r="G1448" s="693"/>
      <c r="H1448" s="693"/>
      <c r="I1448" s="693"/>
      <c r="J1448" s="693"/>
      <c r="K1448" s="693"/>
      <c r="L1448" s="693"/>
      <c r="M1448" s="693"/>
      <c r="N1448" s="693"/>
      <c r="O1448" s="693"/>
      <c r="P1448" s="693"/>
      <c r="Q1448" s="693"/>
    </row>
    <row r="1449" spans="1:17" ht="13.5">
      <c r="A1449" s="693"/>
      <c r="B1449" s="693"/>
      <c r="C1449" s="693"/>
      <c r="D1449" s="693"/>
      <c r="E1449" s="693"/>
      <c r="F1449" s="693"/>
      <c r="G1449" s="693"/>
      <c r="H1449" s="693"/>
      <c r="I1449" s="693"/>
      <c r="J1449" s="693"/>
      <c r="K1449" s="693"/>
      <c r="L1449" s="693"/>
      <c r="M1449" s="693"/>
      <c r="N1449" s="693"/>
      <c r="O1449" s="693"/>
      <c r="P1449" s="693"/>
      <c r="Q1449" s="693"/>
    </row>
    <row r="1450" spans="1:17" ht="13.5">
      <c r="A1450" s="693"/>
      <c r="B1450" s="693"/>
      <c r="C1450" s="693"/>
      <c r="D1450" s="693"/>
      <c r="E1450" s="693"/>
      <c r="F1450" s="693"/>
      <c r="G1450" s="693"/>
      <c r="H1450" s="693"/>
      <c r="I1450" s="693"/>
      <c r="J1450" s="693"/>
      <c r="K1450" s="693"/>
      <c r="L1450" s="693"/>
      <c r="M1450" s="693"/>
      <c r="N1450" s="693"/>
      <c r="O1450" s="693"/>
      <c r="P1450" s="693"/>
      <c r="Q1450" s="693"/>
    </row>
    <row r="1451" spans="1:17" ht="13.5">
      <c r="A1451" s="693"/>
      <c r="B1451" s="693"/>
      <c r="C1451" s="693"/>
      <c r="D1451" s="693"/>
      <c r="E1451" s="693"/>
      <c r="F1451" s="693"/>
      <c r="G1451" s="693"/>
      <c r="H1451" s="693"/>
      <c r="I1451" s="693"/>
      <c r="J1451" s="693"/>
      <c r="K1451" s="693"/>
      <c r="L1451" s="693"/>
      <c r="M1451" s="693"/>
      <c r="N1451" s="693"/>
      <c r="O1451" s="693"/>
      <c r="P1451" s="693"/>
      <c r="Q1451" s="693"/>
    </row>
    <row r="1452" spans="1:17" ht="13.5">
      <c r="A1452" s="693"/>
      <c r="B1452" s="693"/>
      <c r="C1452" s="693"/>
      <c r="D1452" s="693"/>
      <c r="E1452" s="693"/>
      <c r="F1452" s="693"/>
      <c r="G1452" s="693"/>
      <c r="H1452" s="693"/>
      <c r="I1452" s="693"/>
      <c r="J1452" s="693"/>
      <c r="K1452" s="693"/>
      <c r="L1452" s="693"/>
      <c r="M1452" s="693"/>
      <c r="N1452" s="693"/>
      <c r="O1452" s="693"/>
      <c r="P1452" s="693"/>
      <c r="Q1452" s="693"/>
    </row>
    <row r="1453" spans="1:17" ht="13.5">
      <c r="A1453" s="693"/>
      <c r="B1453" s="693"/>
      <c r="C1453" s="693"/>
      <c r="D1453" s="693"/>
      <c r="E1453" s="693"/>
      <c r="F1453" s="693"/>
      <c r="G1453" s="693"/>
      <c r="H1453" s="693"/>
      <c r="I1453" s="693"/>
      <c r="J1453" s="693"/>
      <c r="K1453" s="693"/>
      <c r="L1453" s="693"/>
      <c r="M1453" s="693"/>
      <c r="N1453" s="693"/>
      <c r="O1453" s="693"/>
      <c r="P1453" s="693"/>
      <c r="Q1453" s="693"/>
    </row>
    <row r="1454" spans="1:17" ht="13.5">
      <c r="A1454" s="693"/>
      <c r="B1454" s="693"/>
      <c r="C1454" s="693"/>
      <c r="D1454" s="693"/>
      <c r="E1454" s="693"/>
      <c r="F1454" s="693"/>
      <c r="G1454" s="693"/>
      <c r="H1454" s="693"/>
      <c r="I1454" s="693"/>
      <c r="J1454" s="693"/>
      <c r="K1454" s="693"/>
      <c r="L1454" s="693"/>
      <c r="M1454" s="693"/>
      <c r="N1454" s="693"/>
      <c r="O1454" s="693"/>
      <c r="P1454" s="693"/>
      <c r="Q1454" s="693"/>
    </row>
    <row r="1455" spans="1:17" ht="13.5">
      <c r="A1455" s="693"/>
      <c r="B1455" s="693"/>
      <c r="C1455" s="693"/>
      <c r="D1455" s="693"/>
      <c r="E1455" s="693"/>
      <c r="F1455" s="693"/>
      <c r="G1455" s="693"/>
      <c r="H1455" s="693"/>
      <c r="I1455" s="693"/>
      <c r="J1455" s="693"/>
      <c r="K1455" s="693"/>
      <c r="L1455" s="693"/>
      <c r="M1455" s="693"/>
      <c r="N1455" s="693"/>
      <c r="O1455" s="693"/>
      <c r="P1455" s="693"/>
      <c r="Q1455" s="693"/>
    </row>
    <row r="1456" spans="1:17" ht="13.5">
      <c r="A1456" s="693"/>
      <c r="B1456" s="693"/>
      <c r="C1456" s="693"/>
      <c r="D1456" s="693"/>
      <c r="E1456" s="693"/>
      <c r="F1456" s="693"/>
      <c r="G1456" s="693"/>
      <c r="H1456" s="693"/>
      <c r="I1456" s="693"/>
      <c r="J1456" s="693"/>
      <c r="K1456" s="693"/>
      <c r="L1456" s="693"/>
      <c r="M1456" s="693"/>
      <c r="N1456" s="693"/>
      <c r="O1456" s="693"/>
      <c r="P1456" s="693"/>
      <c r="Q1456" s="693"/>
    </row>
    <row r="1457" spans="1:17" ht="13.5">
      <c r="A1457" s="693"/>
      <c r="B1457" s="693"/>
      <c r="C1457" s="693"/>
      <c r="D1457" s="693"/>
      <c r="E1457" s="693"/>
      <c r="F1457" s="693"/>
      <c r="G1457" s="693"/>
      <c r="H1457" s="693"/>
      <c r="I1457" s="693"/>
      <c r="J1457" s="693"/>
      <c r="K1457" s="693"/>
      <c r="L1457" s="693"/>
      <c r="M1457" s="693"/>
      <c r="N1457" s="693"/>
      <c r="O1457" s="693"/>
      <c r="P1457" s="693"/>
      <c r="Q1457" s="693"/>
    </row>
    <row r="1458" spans="1:17" ht="13.5">
      <c r="A1458" s="693"/>
      <c r="B1458" s="693"/>
      <c r="C1458" s="693"/>
      <c r="D1458" s="693"/>
      <c r="E1458" s="693"/>
      <c r="F1458" s="693"/>
      <c r="G1458" s="693"/>
      <c r="H1458" s="693"/>
      <c r="I1458" s="693"/>
      <c r="J1458" s="693"/>
      <c r="K1458" s="693"/>
      <c r="L1458" s="693"/>
      <c r="M1458" s="693"/>
      <c r="N1458" s="693"/>
      <c r="O1458" s="693"/>
      <c r="P1458" s="693"/>
      <c r="Q1458" s="693"/>
    </row>
    <row r="1459" spans="1:17" ht="13.5">
      <c r="A1459" s="693"/>
      <c r="B1459" s="693"/>
      <c r="C1459" s="693"/>
      <c r="D1459" s="693"/>
      <c r="E1459" s="693"/>
      <c r="F1459" s="693"/>
      <c r="G1459" s="693"/>
      <c r="H1459" s="693"/>
      <c r="I1459" s="693"/>
      <c r="J1459" s="693"/>
      <c r="K1459" s="693"/>
      <c r="L1459" s="693"/>
      <c r="M1459" s="693"/>
      <c r="N1459" s="693"/>
      <c r="O1459" s="693"/>
      <c r="P1459" s="693"/>
      <c r="Q1459" s="693"/>
    </row>
    <row r="1460" spans="1:17" ht="13.5">
      <c r="A1460" s="693"/>
      <c r="B1460" s="693"/>
      <c r="C1460" s="693"/>
      <c r="D1460" s="693"/>
      <c r="E1460" s="693"/>
      <c r="F1460" s="693"/>
      <c r="G1460" s="693"/>
      <c r="H1460" s="693"/>
      <c r="I1460" s="693"/>
      <c r="J1460" s="693"/>
      <c r="K1460" s="693"/>
      <c r="L1460" s="693"/>
      <c r="M1460" s="693"/>
      <c r="N1460" s="693"/>
      <c r="O1460" s="693"/>
      <c r="P1460" s="693"/>
      <c r="Q1460" s="693"/>
    </row>
    <row r="1461" spans="1:17" ht="13.5">
      <c r="A1461" s="693"/>
      <c r="B1461" s="693"/>
      <c r="C1461" s="693"/>
      <c r="D1461" s="693"/>
      <c r="E1461" s="693"/>
      <c r="F1461" s="693"/>
      <c r="G1461" s="693"/>
      <c r="H1461" s="693"/>
      <c r="I1461" s="693"/>
      <c r="J1461" s="693"/>
      <c r="K1461" s="693"/>
      <c r="L1461" s="693"/>
      <c r="M1461" s="693"/>
      <c r="N1461" s="693"/>
      <c r="O1461" s="693"/>
      <c r="P1461" s="693"/>
      <c r="Q1461" s="693"/>
    </row>
    <row r="1462" spans="1:17" ht="13.5">
      <c r="A1462" s="693"/>
      <c r="B1462" s="693"/>
      <c r="C1462" s="693"/>
      <c r="D1462" s="693"/>
      <c r="E1462" s="693"/>
      <c r="F1462" s="693"/>
      <c r="G1462" s="693"/>
      <c r="H1462" s="693"/>
      <c r="I1462" s="693"/>
      <c r="J1462" s="693"/>
      <c r="K1462" s="693"/>
      <c r="L1462" s="693"/>
      <c r="M1462" s="693"/>
      <c r="N1462" s="693"/>
      <c r="O1462" s="693"/>
      <c r="P1462" s="693"/>
      <c r="Q1462" s="693"/>
    </row>
    <row r="1463" spans="1:17" ht="13.5">
      <c r="A1463" s="693"/>
      <c r="B1463" s="693"/>
      <c r="C1463" s="693"/>
      <c r="D1463" s="693"/>
      <c r="E1463" s="693"/>
      <c r="F1463" s="693"/>
      <c r="G1463" s="693"/>
      <c r="H1463" s="693"/>
      <c r="I1463" s="693"/>
      <c r="J1463" s="693"/>
      <c r="K1463" s="693"/>
      <c r="L1463" s="693"/>
      <c r="M1463" s="693"/>
      <c r="N1463" s="693"/>
      <c r="O1463" s="693"/>
      <c r="P1463" s="693"/>
      <c r="Q1463" s="693"/>
    </row>
    <row r="1464" spans="1:17" ht="13.5">
      <c r="A1464" s="693"/>
      <c r="B1464" s="693"/>
      <c r="C1464" s="693"/>
      <c r="D1464" s="693"/>
      <c r="E1464" s="693"/>
      <c r="F1464" s="693"/>
      <c r="G1464" s="693"/>
      <c r="H1464" s="693"/>
      <c r="I1464" s="693"/>
      <c r="J1464" s="693"/>
      <c r="K1464" s="693"/>
      <c r="L1464" s="693"/>
      <c r="M1464" s="693"/>
      <c r="N1464" s="693"/>
      <c r="O1464" s="693"/>
      <c r="P1464" s="693"/>
      <c r="Q1464" s="693"/>
    </row>
    <row r="1465" spans="1:17" ht="13.5">
      <c r="A1465" s="693"/>
      <c r="B1465" s="693"/>
      <c r="C1465" s="693"/>
      <c r="D1465" s="693"/>
      <c r="E1465" s="693"/>
      <c r="F1465" s="693"/>
      <c r="G1465" s="693"/>
      <c r="H1465" s="693"/>
      <c r="I1465" s="693"/>
      <c r="J1465" s="693"/>
      <c r="K1465" s="693"/>
      <c r="L1465" s="693"/>
      <c r="M1465" s="693"/>
      <c r="N1465" s="693"/>
      <c r="O1465" s="693"/>
      <c r="P1465" s="693"/>
      <c r="Q1465" s="693"/>
    </row>
    <row r="1466" spans="1:17" ht="13.5">
      <c r="A1466" s="693"/>
      <c r="B1466" s="693"/>
      <c r="C1466" s="693"/>
      <c r="D1466" s="693"/>
      <c r="E1466" s="693"/>
      <c r="F1466" s="693"/>
      <c r="G1466" s="693"/>
      <c r="H1466" s="693"/>
      <c r="I1466" s="693"/>
      <c r="J1466" s="693"/>
      <c r="K1466" s="693"/>
      <c r="L1466" s="693"/>
      <c r="M1466" s="693"/>
      <c r="N1466" s="693"/>
      <c r="O1466" s="693"/>
      <c r="P1466" s="693"/>
      <c r="Q1466" s="693"/>
    </row>
    <row r="1467" spans="1:17" ht="13.5">
      <c r="A1467" s="693"/>
      <c r="B1467" s="693"/>
      <c r="C1467" s="693"/>
      <c r="D1467" s="693"/>
      <c r="E1467" s="693"/>
      <c r="F1467" s="693"/>
      <c r="G1467" s="693"/>
      <c r="H1467" s="693"/>
      <c r="I1467" s="693"/>
      <c r="J1467" s="693"/>
      <c r="K1467" s="693"/>
      <c r="L1467" s="693"/>
      <c r="M1467" s="693"/>
      <c r="N1467" s="693"/>
      <c r="O1467" s="693"/>
      <c r="P1467" s="693"/>
      <c r="Q1467" s="693"/>
    </row>
    <row r="1468" spans="1:17" ht="13.5">
      <c r="A1468" s="693"/>
      <c r="B1468" s="693"/>
      <c r="C1468" s="693"/>
      <c r="D1468" s="693"/>
      <c r="E1468" s="693"/>
      <c r="F1468" s="693"/>
      <c r="G1468" s="693"/>
      <c r="H1468" s="693"/>
      <c r="I1468" s="693"/>
      <c r="J1468" s="693"/>
      <c r="K1468" s="693"/>
      <c r="L1468" s="693"/>
      <c r="M1468" s="693"/>
      <c r="N1468" s="693"/>
      <c r="O1468" s="693"/>
      <c r="P1468" s="693"/>
      <c r="Q1468" s="693"/>
    </row>
    <row r="1469" spans="1:17" ht="13.5">
      <c r="A1469" s="693"/>
      <c r="B1469" s="693"/>
      <c r="C1469" s="693"/>
      <c r="D1469" s="693"/>
      <c r="E1469" s="693"/>
      <c r="F1469" s="693"/>
      <c r="G1469" s="693"/>
      <c r="H1469" s="693"/>
      <c r="I1469" s="693"/>
      <c r="J1469" s="693"/>
      <c r="K1469" s="693"/>
      <c r="L1469" s="693"/>
      <c r="M1469" s="693"/>
      <c r="N1469" s="693"/>
      <c r="O1469" s="693"/>
      <c r="P1469" s="693"/>
      <c r="Q1469" s="693"/>
    </row>
    <row r="1470" spans="1:17" ht="13.5">
      <c r="A1470" s="693"/>
      <c r="B1470" s="693"/>
      <c r="C1470" s="693"/>
      <c r="D1470" s="693"/>
      <c r="E1470" s="693"/>
      <c r="F1470" s="693"/>
      <c r="G1470" s="693"/>
      <c r="H1470" s="693"/>
      <c r="I1470" s="693"/>
      <c r="J1470" s="693"/>
      <c r="K1470" s="693"/>
      <c r="L1470" s="693"/>
      <c r="M1470" s="693"/>
      <c r="N1470" s="693"/>
      <c r="O1470" s="693"/>
      <c r="P1470" s="693"/>
      <c r="Q1470" s="693"/>
    </row>
    <row r="1471" spans="1:17" ht="13.5">
      <c r="A1471" s="693"/>
      <c r="B1471" s="693"/>
      <c r="C1471" s="693"/>
      <c r="D1471" s="693"/>
      <c r="E1471" s="693"/>
      <c r="F1471" s="693"/>
      <c r="G1471" s="693"/>
      <c r="H1471" s="693"/>
      <c r="I1471" s="693"/>
      <c r="J1471" s="693"/>
      <c r="K1471" s="693"/>
      <c r="L1471" s="693"/>
      <c r="M1471" s="693"/>
      <c r="N1471" s="693"/>
      <c r="O1471" s="693"/>
      <c r="P1471" s="693"/>
      <c r="Q1471" s="693"/>
    </row>
    <row r="1472" spans="1:17" ht="13.5">
      <c r="A1472" s="693"/>
      <c r="B1472" s="693"/>
      <c r="C1472" s="693"/>
      <c r="D1472" s="693"/>
      <c r="E1472" s="693"/>
      <c r="F1472" s="693"/>
      <c r="G1472" s="693"/>
      <c r="H1472" s="693"/>
      <c r="I1472" s="693"/>
      <c r="J1472" s="693"/>
      <c r="K1472" s="693"/>
      <c r="L1472" s="693"/>
      <c r="M1472" s="693"/>
      <c r="N1472" s="693"/>
      <c r="O1472" s="693"/>
      <c r="P1472" s="693"/>
      <c r="Q1472" s="693"/>
    </row>
    <row r="1473" spans="1:17" ht="13.5">
      <c r="A1473" s="693"/>
      <c r="B1473" s="693"/>
      <c r="C1473" s="693"/>
      <c r="D1473" s="693"/>
      <c r="E1473" s="693"/>
      <c r="F1473" s="693"/>
      <c r="G1473" s="693"/>
      <c r="H1473" s="693"/>
      <c r="I1473" s="693"/>
      <c r="J1473" s="693"/>
      <c r="K1473" s="693"/>
      <c r="L1473" s="693"/>
      <c r="M1473" s="693"/>
      <c r="N1473" s="693"/>
      <c r="O1473" s="693"/>
      <c r="P1473" s="693"/>
      <c r="Q1473" s="693"/>
    </row>
    <row r="1474" spans="1:17" ht="13.5">
      <c r="A1474" s="693"/>
      <c r="B1474" s="693"/>
      <c r="C1474" s="693"/>
      <c r="D1474" s="693"/>
      <c r="E1474" s="693"/>
      <c r="F1474" s="693"/>
      <c r="G1474" s="693"/>
      <c r="H1474" s="693"/>
      <c r="I1474" s="693"/>
      <c r="J1474" s="693"/>
      <c r="K1474" s="693"/>
      <c r="L1474" s="693"/>
      <c r="M1474" s="693"/>
      <c r="N1474" s="693"/>
      <c r="O1474" s="693"/>
      <c r="P1474" s="693"/>
      <c r="Q1474" s="693"/>
    </row>
    <row r="1475" spans="1:17" ht="13.5">
      <c r="A1475" s="693"/>
      <c r="B1475" s="693"/>
      <c r="C1475" s="693"/>
      <c r="D1475" s="693"/>
      <c r="E1475" s="693"/>
      <c r="F1475" s="693"/>
      <c r="G1475" s="693"/>
      <c r="H1475" s="693"/>
      <c r="I1475" s="693"/>
      <c r="J1475" s="693"/>
      <c r="K1475" s="693"/>
      <c r="L1475" s="693"/>
      <c r="M1475" s="693"/>
      <c r="N1475" s="693"/>
      <c r="O1475" s="693"/>
      <c r="P1475" s="693"/>
      <c r="Q1475" s="693"/>
    </row>
    <row r="1476" spans="1:17" ht="13.5">
      <c r="A1476" s="693"/>
      <c r="B1476" s="693"/>
      <c r="C1476" s="693"/>
      <c r="D1476" s="693"/>
      <c r="E1476" s="693"/>
      <c r="F1476" s="693"/>
      <c r="G1476" s="693"/>
      <c r="H1476" s="693"/>
      <c r="I1476" s="693"/>
      <c r="J1476" s="693"/>
      <c r="K1476" s="693"/>
      <c r="L1476" s="693"/>
      <c r="M1476" s="693"/>
      <c r="N1476" s="693"/>
      <c r="O1476" s="693"/>
      <c r="P1476" s="693"/>
      <c r="Q1476" s="693"/>
    </row>
    <row r="1477" spans="1:17" ht="13.5">
      <c r="A1477" s="693"/>
      <c r="B1477" s="693"/>
      <c r="C1477" s="693"/>
      <c r="D1477" s="693"/>
      <c r="E1477" s="693"/>
      <c r="F1477" s="693"/>
      <c r="G1477" s="693"/>
      <c r="H1477" s="693"/>
      <c r="I1477" s="693"/>
      <c r="J1477" s="693"/>
      <c r="K1477" s="693"/>
      <c r="L1477" s="693"/>
      <c r="M1477" s="693"/>
      <c r="N1477" s="693"/>
      <c r="O1477" s="693"/>
      <c r="P1477" s="693"/>
      <c r="Q1477" s="693"/>
    </row>
    <row r="1478" spans="1:17" ht="13.5">
      <c r="A1478" s="693"/>
      <c r="B1478" s="693"/>
      <c r="C1478" s="693"/>
      <c r="D1478" s="693"/>
      <c r="E1478" s="693"/>
      <c r="F1478" s="693"/>
      <c r="G1478" s="693"/>
      <c r="H1478" s="693"/>
      <c r="I1478" s="693"/>
      <c r="J1478" s="693"/>
      <c r="K1478" s="693"/>
      <c r="L1478" s="693"/>
      <c r="M1478" s="693"/>
      <c r="N1478" s="693"/>
      <c r="O1478" s="693"/>
      <c r="P1478" s="693"/>
      <c r="Q1478" s="693"/>
    </row>
    <row r="1479" spans="1:17" ht="13.5">
      <c r="A1479" s="693"/>
      <c r="B1479" s="693"/>
      <c r="C1479" s="693"/>
      <c r="D1479" s="693"/>
      <c r="E1479" s="693"/>
      <c r="F1479" s="693"/>
      <c r="G1479" s="693"/>
      <c r="H1479" s="693"/>
      <c r="I1479" s="693"/>
      <c r="J1479" s="693"/>
      <c r="K1479" s="693"/>
      <c r="L1479" s="693"/>
      <c r="M1479" s="693"/>
      <c r="N1479" s="693"/>
      <c r="O1479" s="693"/>
      <c r="P1479" s="693"/>
      <c r="Q1479" s="693"/>
    </row>
    <row r="1480" spans="1:17" ht="13.5">
      <c r="A1480" s="693"/>
      <c r="B1480" s="693"/>
      <c r="C1480" s="693"/>
      <c r="D1480" s="693"/>
      <c r="E1480" s="693"/>
      <c r="F1480" s="693"/>
      <c r="G1480" s="693"/>
      <c r="H1480" s="693"/>
      <c r="I1480" s="693"/>
      <c r="J1480" s="693"/>
      <c r="K1480" s="693"/>
      <c r="L1480" s="693"/>
      <c r="M1480" s="693"/>
      <c r="N1480" s="693"/>
      <c r="O1480" s="693"/>
      <c r="P1480" s="693"/>
      <c r="Q1480" s="693"/>
    </row>
    <row r="1481" spans="1:17" ht="13.5">
      <c r="A1481" s="693"/>
      <c r="B1481" s="693"/>
      <c r="C1481" s="693"/>
      <c r="D1481" s="693"/>
      <c r="E1481" s="693"/>
      <c r="F1481" s="693"/>
      <c r="G1481" s="693"/>
      <c r="H1481" s="693"/>
      <c r="I1481" s="693"/>
      <c r="J1481" s="693"/>
      <c r="K1481" s="693"/>
      <c r="L1481" s="693"/>
      <c r="M1481" s="693"/>
      <c r="N1481" s="693"/>
      <c r="O1481" s="693"/>
      <c r="P1481" s="693"/>
      <c r="Q1481" s="693"/>
    </row>
    <row r="1482" spans="1:17" ht="13.5">
      <c r="A1482" s="693"/>
      <c r="B1482" s="693"/>
      <c r="C1482" s="693"/>
      <c r="D1482" s="693"/>
      <c r="E1482" s="693"/>
      <c r="F1482" s="693"/>
      <c r="G1482" s="693"/>
      <c r="H1482" s="693"/>
      <c r="I1482" s="693"/>
      <c r="J1482" s="693"/>
      <c r="K1482" s="693"/>
      <c r="L1482" s="693"/>
      <c r="M1482" s="693"/>
      <c r="N1482" s="693"/>
      <c r="O1482" s="693"/>
      <c r="P1482" s="693"/>
      <c r="Q1482" s="693"/>
    </row>
    <row r="1483" spans="1:17" ht="13.5">
      <c r="A1483" s="693"/>
      <c r="B1483" s="693"/>
      <c r="C1483" s="693"/>
      <c r="D1483" s="693"/>
      <c r="E1483" s="693"/>
      <c r="F1483" s="693"/>
      <c r="G1483" s="693"/>
      <c r="H1483" s="693"/>
      <c r="I1483" s="693"/>
      <c r="J1483" s="693"/>
      <c r="K1483" s="693"/>
      <c r="L1483" s="693"/>
      <c r="M1483" s="693"/>
      <c r="N1483" s="693"/>
      <c r="O1483" s="693"/>
      <c r="P1483" s="693"/>
      <c r="Q1483" s="693"/>
    </row>
    <row r="1484" spans="1:17" ht="13.5">
      <c r="A1484" s="693"/>
      <c r="B1484" s="693"/>
      <c r="C1484" s="693"/>
      <c r="D1484" s="693"/>
      <c r="E1484" s="693"/>
      <c r="F1484" s="693"/>
      <c r="G1484" s="693"/>
      <c r="H1484" s="693"/>
      <c r="I1484" s="693"/>
      <c r="J1484" s="693"/>
      <c r="K1484" s="693"/>
      <c r="L1484" s="693"/>
      <c r="M1484" s="693"/>
      <c r="N1484" s="693"/>
      <c r="O1484" s="693"/>
      <c r="P1484" s="693"/>
      <c r="Q1484" s="693"/>
    </row>
    <row r="1485" spans="1:17" ht="13.5">
      <c r="A1485" s="693"/>
      <c r="B1485" s="693"/>
      <c r="C1485" s="693"/>
      <c r="D1485" s="693"/>
      <c r="E1485" s="693"/>
      <c r="F1485" s="693"/>
      <c r="G1485" s="693"/>
      <c r="H1485" s="693"/>
      <c r="I1485" s="693"/>
      <c r="J1485" s="693"/>
      <c r="K1485" s="693"/>
      <c r="L1485" s="693"/>
      <c r="M1485" s="693"/>
      <c r="N1485" s="693"/>
      <c r="O1485" s="693"/>
      <c r="P1485" s="693"/>
      <c r="Q1485" s="693"/>
    </row>
    <row r="1486" spans="1:17" ht="13.5">
      <c r="A1486" s="693"/>
      <c r="B1486" s="693"/>
      <c r="C1486" s="693"/>
      <c r="D1486" s="693"/>
      <c r="E1486" s="693"/>
      <c r="F1486" s="693"/>
      <c r="G1486" s="693"/>
      <c r="H1486" s="693"/>
      <c r="I1486" s="693"/>
      <c r="J1486" s="693"/>
      <c r="K1486" s="693"/>
      <c r="L1486" s="693"/>
      <c r="M1486" s="693"/>
      <c r="N1486" s="693"/>
      <c r="O1486" s="693"/>
      <c r="P1486" s="693"/>
      <c r="Q1486" s="693"/>
    </row>
    <row r="1487" spans="1:17" ht="13.5">
      <c r="A1487" s="693"/>
      <c r="B1487" s="693"/>
      <c r="C1487" s="693"/>
      <c r="D1487" s="693"/>
      <c r="E1487" s="693"/>
      <c r="F1487" s="693"/>
      <c r="G1487" s="693"/>
      <c r="H1487" s="693"/>
      <c r="I1487" s="693"/>
      <c r="J1487" s="693"/>
      <c r="K1487" s="693"/>
      <c r="L1487" s="693"/>
      <c r="M1487" s="693"/>
      <c r="N1487" s="693"/>
      <c r="O1487" s="693"/>
      <c r="P1487" s="693"/>
      <c r="Q1487" s="693"/>
    </row>
    <row r="1488" spans="1:17" ht="13.5">
      <c r="A1488" s="693"/>
      <c r="B1488" s="693"/>
      <c r="C1488" s="693"/>
      <c r="D1488" s="693"/>
      <c r="E1488" s="693"/>
      <c r="F1488" s="693"/>
      <c r="G1488" s="693"/>
      <c r="H1488" s="693"/>
      <c r="I1488" s="693"/>
      <c r="J1488" s="693"/>
      <c r="K1488" s="693"/>
      <c r="L1488" s="693"/>
      <c r="M1488" s="693"/>
      <c r="N1488" s="693"/>
      <c r="O1488" s="693"/>
      <c r="P1488" s="693"/>
      <c r="Q1488" s="693"/>
    </row>
    <row r="1489" spans="1:17" ht="13.5">
      <c r="A1489" s="693"/>
      <c r="B1489" s="693"/>
      <c r="C1489" s="693"/>
      <c r="D1489" s="693"/>
      <c r="E1489" s="693"/>
      <c r="F1489" s="693"/>
      <c r="G1489" s="693"/>
      <c r="H1489" s="693"/>
      <c r="I1489" s="693"/>
      <c r="J1489" s="693"/>
      <c r="K1489" s="693"/>
      <c r="L1489" s="693"/>
      <c r="M1489" s="693"/>
      <c r="N1489" s="693"/>
      <c r="O1489" s="693"/>
      <c r="P1489" s="693"/>
      <c r="Q1489" s="693"/>
    </row>
    <row r="1490" spans="1:17" ht="13.5">
      <c r="A1490" s="693"/>
      <c r="B1490" s="693"/>
      <c r="C1490" s="693"/>
      <c r="D1490" s="693"/>
      <c r="E1490" s="693"/>
      <c r="F1490" s="693"/>
      <c r="G1490" s="693"/>
      <c r="H1490" s="693"/>
      <c r="I1490" s="693"/>
      <c r="J1490" s="693"/>
      <c r="K1490" s="693"/>
      <c r="L1490" s="693"/>
      <c r="M1490" s="693"/>
      <c r="N1490" s="693"/>
      <c r="O1490" s="693"/>
      <c r="P1490" s="693"/>
      <c r="Q1490" s="693"/>
    </row>
    <row r="1491" spans="1:17" ht="13.5">
      <c r="A1491" s="693"/>
      <c r="B1491" s="693"/>
      <c r="C1491" s="693"/>
      <c r="D1491" s="693"/>
      <c r="E1491" s="693"/>
      <c r="F1491" s="693"/>
      <c r="G1491" s="693"/>
      <c r="H1491" s="693"/>
      <c r="I1491" s="693"/>
      <c r="J1491" s="693"/>
      <c r="K1491" s="693"/>
      <c r="L1491" s="693"/>
      <c r="M1491" s="693"/>
      <c r="N1491" s="693"/>
      <c r="O1491" s="693"/>
      <c r="P1491" s="693"/>
      <c r="Q1491" s="693"/>
    </row>
    <row r="1492" spans="1:17" ht="13.5">
      <c r="A1492" s="693"/>
      <c r="B1492" s="693"/>
      <c r="C1492" s="693"/>
      <c r="D1492" s="693"/>
      <c r="E1492" s="693"/>
      <c r="F1492" s="693"/>
      <c r="G1492" s="693"/>
      <c r="H1492" s="693"/>
      <c r="I1492" s="693"/>
      <c r="J1492" s="693"/>
      <c r="K1492" s="693"/>
      <c r="L1492" s="693"/>
      <c r="M1492" s="693"/>
      <c r="N1492" s="693"/>
      <c r="O1492" s="693"/>
      <c r="P1492" s="693"/>
      <c r="Q1492" s="693"/>
    </row>
    <row r="1493" spans="1:17" ht="13.5">
      <c r="A1493" s="693"/>
      <c r="B1493" s="693"/>
      <c r="C1493" s="693"/>
      <c r="D1493" s="693"/>
      <c r="E1493" s="693"/>
      <c r="F1493" s="693"/>
      <c r="G1493" s="693"/>
      <c r="H1493" s="693"/>
      <c r="I1493" s="693"/>
      <c r="J1493" s="693"/>
      <c r="K1493" s="693"/>
      <c r="L1493" s="693"/>
      <c r="M1493" s="693"/>
      <c r="N1493" s="693"/>
      <c r="O1493" s="693"/>
      <c r="P1493" s="693"/>
      <c r="Q1493" s="693"/>
    </row>
    <row r="1494" spans="1:17" ht="13.5">
      <c r="A1494" s="693"/>
      <c r="B1494" s="693"/>
      <c r="C1494" s="693"/>
      <c r="D1494" s="693"/>
      <c r="E1494" s="693"/>
      <c r="F1494" s="693"/>
      <c r="G1494" s="693"/>
      <c r="H1494" s="693"/>
      <c r="I1494" s="693"/>
      <c r="J1494" s="693"/>
      <c r="K1494" s="693"/>
      <c r="L1494" s="693"/>
      <c r="M1494" s="693"/>
      <c r="N1494" s="693"/>
      <c r="O1494" s="693"/>
      <c r="P1494" s="693"/>
      <c r="Q1494" s="693"/>
    </row>
    <row r="1495" spans="1:17" ht="13.5">
      <c r="A1495" s="693"/>
      <c r="B1495" s="693"/>
      <c r="C1495" s="693"/>
      <c r="D1495" s="693"/>
      <c r="E1495" s="693"/>
      <c r="F1495" s="693"/>
      <c r="G1495" s="693"/>
      <c r="H1495" s="693"/>
      <c r="I1495" s="693"/>
      <c r="J1495" s="693"/>
      <c r="K1495" s="693"/>
      <c r="L1495" s="693"/>
      <c r="M1495" s="693"/>
      <c r="N1495" s="693"/>
      <c r="O1495" s="693"/>
      <c r="P1495" s="693"/>
      <c r="Q1495" s="693"/>
    </row>
    <row r="1496" spans="1:17" ht="13.5">
      <c r="A1496" s="693"/>
      <c r="B1496" s="693"/>
      <c r="C1496" s="693"/>
      <c r="D1496" s="693"/>
      <c r="E1496" s="693"/>
      <c r="F1496" s="693"/>
      <c r="G1496" s="693"/>
      <c r="H1496" s="693"/>
      <c r="I1496" s="693"/>
      <c r="J1496" s="693"/>
      <c r="K1496" s="693"/>
      <c r="L1496" s="693"/>
      <c r="M1496" s="693"/>
      <c r="N1496" s="693"/>
      <c r="O1496" s="693"/>
      <c r="P1496" s="693"/>
      <c r="Q1496" s="693"/>
    </row>
    <row r="1497" spans="1:17" ht="13.5">
      <c r="A1497" s="693"/>
      <c r="B1497" s="693"/>
      <c r="C1497" s="693"/>
      <c r="D1497" s="693"/>
      <c r="E1497" s="693"/>
      <c r="F1497" s="693"/>
      <c r="G1497" s="693"/>
      <c r="H1497" s="693"/>
      <c r="I1497" s="693"/>
      <c r="J1497" s="693"/>
      <c r="K1497" s="693"/>
      <c r="L1497" s="693"/>
      <c r="M1497" s="693"/>
      <c r="N1497" s="693"/>
      <c r="O1497" s="693"/>
      <c r="P1497" s="693"/>
      <c r="Q1497" s="693"/>
    </row>
    <row r="1498" spans="1:17" ht="13.5">
      <c r="A1498" s="693"/>
      <c r="B1498" s="693"/>
      <c r="C1498" s="693"/>
      <c r="D1498" s="693"/>
      <c r="E1498" s="693"/>
      <c r="F1498" s="693"/>
      <c r="G1498" s="693"/>
      <c r="H1498" s="693"/>
      <c r="I1498" s="693"/>
      <c r="J1498" s="693"/>
      <c r="K1498" s="693"/>
      <c r="L1498" s="693"/>
      <c r="M1498" s="693"/>
      <c r="N1498" s="693"/>
      <c r="O1498" s="693"/>
      <c r="P1498" s="693"/>
      <c r="Q1498" s="693"/>
    </row>
    <row r="1499" spans="1:17" ht="13.5">
      <c r="A1499" s="693"/>
      <c r="B1499" s="693"/>
      <c r="C1499" s="693"/>
      <c r="D1499" s="693"/>
      <c r="E1499" s="693"/>
      <c r="F1499" s="693"/>
      <c r="G1499" s="693"/>
      <c r="H1499" s="693"/>
      <c r="I1499" s="693"/>
      <c r="J1499" s="693"/>
      <c r="K1499" s="693"/>
      <c r="L1499" s="693"/>
      <c r="M1499" s="693"/>
      <c r="N1499" s="693"/>
      <c r="O1499" s="693"/>
      <c r="P1499" s="693"/>
      <c r="Q1499" s="693"/>
    </row>
    <row r="1500" spans="1:17" ht="13.5">
      <c r="A1500" s="693"/>
      <c r="B1500" s="693"/>
      <c r="C1500" s="693"/>
      <c r="D1500" s="693"/>
      <c r="E1500" s="693"/>
      <c r="F1500" s="693"/>
      <c r="G1500" s="693"/>
      <c r="H1500" s="693"/>
      <c r="I1500" s="693"/>
      <c r="J1500" s="693"/>
      <c r="K1500" s="693"/>
      <c r="L1500" s="693"/>
      <c r="M1500" s="693"/>
      <c r="N1500" s="693"/>
      <c r="O1500" s="693"/>
      <c r="P1500" s="693"/>
      <c r="Q1500" s="693"/>
    </row>
    <row r="1501" spans="1:17" ht="13.5">
      <c r="A1501" s="693"/>
      <c r="B1501" s="693"/>
      <c r="C1501" s="693"/>
      <c r="D1501" s="693"/>
      <c r="E1501" s="693"/>
      <c r="F1501" s="693"/>
      <c r="G1501" s="693"/>
      <c r="H1501" s="693"/>
      <c r="I1501" s="693"/>
      <c r="J1501" s="693"/>
      <c r="K1501" s="693"/>
      <c r="L1501" s="693"/>
      <c r="M1501" s="693"/>
      <c r="N1501" s="693"/>
      <c r="O1501" s="693"/>
      <c r="P1501" s="693"/>
      <c r="Q1501" s="693"/>
    </row>
    <row r="1502" spans="1:17" ht="13.5">
      <c r="A1502" s="693"/>
      <c r="B1502" s="693"/>
      <c r="C1502" s="693"/>
      <c r="D1502" s="693"/>
      <c r="E1502" s="693"/>
      <c r="F1502" s="693"/>
      <c r="G1502" s="693"/>
      <c r="H1502" s="693"/>
      <c r="I1502" s="693"/>
      <c r="J1502" s="693"/>
      <c r="K1502" s="693"/>
      <c r="L1502" s="693"/>
      <c r="M1502" s="693"/>
      <c r="N1502" s="693"/>
      <c r="O1502" s="693"/>
      <c r="P1502" s="693"/>
      <c r="Q1502" s="693"/>
    </row>
    <row r="1503" spans="1:17" ht="13.5">
      <c r="A1503" s="693"/>
      <c r="B1503" s="693"/>
      <c r="C1503" s="693"/>
      <c r="D1503" s="693"/>
      <c r="E1503" s="693"/>
      <c r="F1503" s="693"/>
      <c r="G1503" s="693"/>
      <c r="H1503" s="693"/>
      <c r="I1503" s="693"/>
      <c r="J1503" s="693"/>
      <c r="K1503" s="693"/>
      <c r="L1503" s="693"/>
      <c r="M1503" s="693"/>
      <c r="N1503" s="693"/>
      <c r="O1503" s="693"/>
      <c r="P1503" s="693"/>
      <c r="Q1503" s="693"/>
    </row>
    <row r="1504" spans="1:17" ht="13.5">
      <c r="A1504" s="693"/>
      <c r="B1504" s="693"/>
      <c r="C1504" s="693"/>
      <c r="D1504" s="693"/>
      <c r="E1504" s="693"/>
      <c r="F1504" s="693"/>
      <c r="G1504" s="693"/>
      <c r="H1504" s="693"/>
      <c r="I1504" s="693"/>
      <c r="J1504" s="693"/>
      <c r="K1504" s="693"/>
      <c r="L1504" s="693"/>
      <c r="M1504" s="693"/>
      <c r="N1504" s="693"/>
      <c r="O1504" s="693"/>
      <c r="P1504" s="693"/>
      <c r="Q1504" s="693"/>
    </row>
    <row r="1505" spans="1:17" ht="13.5">
      <c r="A1505" s="693"/>
      <c r="B1505" s="693"/>
      <c r="C1505" s="693"/>
      <c r="D1505" s="693"/>
      <c r="E1505" s="693"/>
      <c r="F1505" s="693"/>
      <c r="G1505" s="693"/>
      <c r="H1505" s="693"/>
      <c r="I1505" s="693"/>
      <c r="J1505" s="693"/>
      <c r="K1505" s="693"/>
      <c r="L1505" s="693"/>
      <c r="M1505" s="693"/>
      <c r="N1505" s="693"/>
      <c r="O1505" s="693"/>
      <c r="P1505" s="693"/>
      <c r="Q1505" s="693"/>
    </row>
    <row r="1506" spans="1:17" ht="13.5">
      <c r="A1506" s="693"/>
      <c r="B1506" s="693"/>
      <c r="C1506" s="693"/>
      <c r="D1506" s="693"/>
      <c r="E1506" s="693"/>
      <c r="F1506" s="693"/>
      <c r="G1506" s="693"/>
      <c r="H1506" s="693"/>
      <c r="I1506" s="693"/>
      <c r="J1506" s="693"/>
      <c r="K1506" s="693"/>
      <c r="L1506" s="693"/>
      <c r="M1506" s="693"/>
      <c r="N1506" s="693"/>
      <c r="O1506" s="693"/>
      <c r="P1506" s="693"/>
      <c r="Q1506" s="693"/>
    </row>
    <row r="1507" spans="1:17" ht="13.5">
      <c r="A1507" s="693"/>
      <c r="B1507" s="693"/>
      <c r="C1507" s="693"/>
      <c r="D1507" s="693"/>
      <c r="E1507" s="693"/>
      <c r="F1507" s="693"/>
      <c r="G1507" s="693"/>
      <c r="H1507" s="693"/>
      <c r="I1507" s="693"/>
      <c r="J1507" s="693"/>
      <c r="K1507" s="693"/>
      <c r="L1507" s="693"/>
      <c r="M1507" s="693"/>
      <c r="N1507" s="693"/>
      <c r="O1507" s="693"/>
      <c r="P1507" s="693"/>
      <c r="Q1507" s="693"/>
    </row>
    <row r="1508" spans="1:17" ht="13.5">
      <c r="A1508" s="693"/>
      <c r="B1508" s="693"/>
      <c r="C1508" s="693"/>
      <c r="D1508" s="693"/>
      <c r="E1508" s="693"/>
      <c r="F1508" s="693"/>
      <c r="G1508" s="693"/>
      <c r="H1508" s="693"/>
      <c r="I1508" s="693"/>
      <c r="J1508" s="693"/>
      <c r="K1508" s="693"/>
      <c r="L1508" s="693"/>
      <c r="M1508" s="693"/>
      <c r="N1508" s="693"/>
      <c r="O1508" s="693"/>
      <c r="P1508" s="693"/>
      <c r="Q1508" s="693"/>
    </row>
    <row r="1509" spans="1:17" ht="13.5">
      <c r="A1509" s="693"/>
      <c r="B1509" s="693"/>
      <c r="C1509" s="693"/>
      <c r="D1509" s="693"/>
      <c r="E1509" s="693"/>
      <c r="F1509" s="693"/>
      <c r="G1509" s="693"/>
      <c r="H1509" s="693"/>
      <c r="I1509" s="693"/>
      <c r="J1509" s="693"/>
      <c r="K1509" s="693"/>
      <c r="L1509" s="693"/>
      <c r="M1509" s="693"/>
      <c r="N1509" s="693"/>
      <c r="O1509" s="693"/>
      <c r="P1509" s="693"/>
      <c r="Q1509" s="693"/>
    </row>
    <row r="1510" spans="1:17" ht="13.5">
      <c r="A1510" s="693"/>
      <c r="B1510" s="693"/>
      <c r="C1510" s="693"/>
      <c r="D1510" s="693"/>
      <c r="E1510" s="693"/>
      <c r="F1510" s="693"/>
      <c r="G1510" s="693"/>
      <c r="H1510" s="693"/>
      <c r="I1510" s="693"/>
      <c r="J1510" s="693"/>
      <c r="K1510" s="693"/>
      <c r="L1510" s="693"/>
      <c r="M1510" s="693"/>
      <c r="N1510" s="693"/>
      <c r="O1510" s="693"/>
      <c r="P1510" s="693"/>
      <c r="Q1510" s="693"/>
    </row>
    <row r="1511" spans="1:17" ht="13.5">
      <c r="A1511" s="693"/>
      <c r="B1511" s="693"/>
      <c r="C1511" s="693"/>
      <c r="D1511" s="693"/>
      <c r="E1511" s="693"/>
      <c r="F1511" s="693"/>
      <c r="G1511" s="693"/>
      <c r="H1511" s="693"/>
      <c r="I1511" s="693"/>
      <c r="J1511" s="693"/>
      <c r="K1511" s="693"/>
      <c r="L1511" s="693"/>
      <c r="M1511" s="693"/>
      <c r="N1511" s="693"/>
      <c r="O1511" s="693"/>
      <c r="P1511" s="693"/>
      <c r="Q1511" s="693"/>
    </row>
    <row r="1512" spans="1:17" ht="13.5">
      <c r="A1512" s="693"/>
      <c r="B1512" s="693"/>
      <c r="C1512" s="693"/>
      <c r="D1512" s="693"/>
      <c r="E1512" s="693"/>
      <c r="F1512" s="693"/>
      <c r="G1512" s="693"/>
      <c r="H1512" s="693"/>
      <c r="I1512" s="693"/>
      <c r="J1512" s="693"/>
      <c r="K1512" s="693"/>
      <c r="L1512" s="693"/>
      <c r="M1512" s="693"/>
      <c r="N1512" s="693"/>
      <c r="O1512" s="693"/>
      <c r="P1512" s="693"/>
      <c r="Q1512" s="693"/>
    </row>
    <row r="1513" spans="1:17" ht="13.5">
      <c r="A1513" s="693"/>
      <c r="B1513" s="693"/>
      <c r="C1513" s="693"/>
      <c r="D1513" s="693"/>
      <c r="E1513" s="693"/>
      <c r="F1513" s="693"/>
      <c r="G1513" s="693"/>
      <c r="H1513" s="693"/>
      <c r="I1513" s="693"/>
      <c r="J1513" s="693"/>
      <c r="K1513" s="693"/>
      <c r="L1513" s="693"/>
      <c r="M1513" s="693"/>
      <c r="N1513" s="693"/>
      <c r="O1513" s="693"/>
      <c r="P1513" s="693"/>
      <c r="Q1513" s="693"/>
    </row>
    <row r="1514" spans="1:17" ht="13.5">
      <c r="A1514" s="693"/>
      <c r="B1514" s="693"/>
      <c r="C1514" s="693"/>
      <c r="D1514" s="693"/>
      <c r="E1514" s="693"/>
      <c r="F1514" s="693"/>
      <c r="G1514" s="693"/>
      <c r="H1514" s="693"/>
      <c r="I1514" s="693"/>
      <c r="J1514" s="693"/>
      <c r="K1514" s="693"/>
      <c r="L1514" s="693"/>
      <c r="M1514" s="693"/>
      <c r="N1514" s="693"/>
      <c r="O1514" s="693"/>
      <c r="P1514" s="693"/>
      <c r="Q1514" s="693"/>
    </row>
    <row r="1515" spans="1:17" ht="13.5">
      <c r="A1515" s="693"/>
      <c r="B1515" s="693"/>
      <c r="C1515" s="693"/>
      <c r="D1515" s="693"/>
      <c r="E1515" s="693"/>
      <c r="F1515" s="693"/>
      <c r="G1515" s="693"/>
      <c r="H1515" s="693"/>
      <c r="I1515" s="693"/>
      <c r="J1515" s="693"/>
      <c r="K1515" s="693"/>
      <c r="L1515" s="693"/>
      <c r="M1515" s="693"/>
      <c r="N1515" s="693"/>
      <c r="O1515" s="693"/>
      <c r="P1515" s="693"/>
      <c r="Q1515" s="693"/>
    </row>
    <row r="1516" spans="1:17" ht="13.5">
      <c r="A1516" s="693"/>
      <c r="B1516" s="693"/>
      <c r="C1516" s="693"/>
      <c r="D1516" s="693"/>
      <c r="E1516" s="693"/>
      <c r="F1516" s="693"/>
      <c r="G1516" s="693"/>
      <c r="H1516" s="693"/>
      <c r="I1516" s="693"/>
      <c r="J1516" s="693"/>
      <c r="K1516" s="693"/>
      <c r="L1516" s="693"/>
      <c r="M1516" s="693"/>
      <c r="N1516" s="693"/>
      <c r="O1516" s="693"/>
      <c r="P1516" s="693"/>
      <c r="Q1516" s="693"/>
    </row>
    <row r="1517" spans="1:17" ht="13.5">
      <c r="A1517" s="693"/>
      <c r="B1517" s="693"/>
      <c r="C1517" s="693"/>
      <c r="D1517" s="693"/>
      <c r="E1517" s="693"/>
      <c r="F1517" s="693"/>
      <c r="G1517" s="693"/>
      <c r="H1517" s="693"/>
      <c r="I1517" s="693"/>
      <c r="J1517" s="693"/>
      <c r="K1517" s="693"/>
      <c r="L1517" s="693"/>
      <c r="M1517" s="693"/>
      <c r="N1517" s="693"/>
      <c r="O1517" s="693"/>
      <c r="P1517" s="693"/>
      <c r="Q1517" s="693"/>
    </row>
    <row r="1518" spans="1:17" ht="13.5">
      <c r="A1518" s="693"/>
      <c r="B1518" s="693"/>
      <c r="C1518" s="693"/>
      <c r="D1518" s="693"/>
      <c r="E1518" s="693"/>
      <c r="F1518" s="693"/>
      <c r="G1518" s="693"/>
      <c r="H1518" s="693"/>
      <c r="I1518" s="693"/>
      <c r="J1518" s="693"/>
      <c r="K1518" s="693"/>
      <c r="L1518" s="693"/>
      <c r="M1518" s="693"/>
      <c r="N1518" s="693"/>
      <c r="O1518" s="693"/>
      <c r="P1518" s="693"/>
      <c r="Q1518" s="693"/>
    </row>
    <row r="1519" spans="1:17" ht="13.5">
      <c r="A1519" s="693"/>
      <c r="B1519" s="693"/>
      <c r="C1519" s="693"/>
      <c r="D1519" s="693"/>
      <c r="E1519" s="693"/>
      <c r="F1519" s="693"/>
      <c r="G1519" s="693"/>
      <c r="H1519" s="693"/>
      <c r="I1519" s="693"/>
      <c r="J1519" s="693"/>
      <c r="K1519" s="693"/>
      <c r="L1519" s="693"/>
      <c r="M1519" s="693"/>
      <c r="N1519" s="693"/>
      <c r="O1519" s="693"/>
      <c r="P1519" s="693"/>
      <c r="Q1519" s="693"/>
    </row>
    <row r="1520" spans="1:17" ht="13.5">
      <c r="A1520" s="693"/>
      <c r="B1520" s="693"/>
      <c r="C1520" s="693"/>
      <c r="D1520" s="693"/>
      <c r="E1520" s="693"/>
      <c r="F1520" s="693"/>
      <c r="G1520" s="693"/>
      <c r="H1520" s="693"/>
      <c r="I1520" s="693"/>
      <c r="J1520" s="693"/>
      <c r="K1520" s="693"/>
      <c r="L1520" s="693"/>
      <c r="M1520" s="693"/>
      <c r="N1520" s="693"/>
      <c r="O1520" s="693"/>
      <c r="P1520" s="693"/>
      <c r="Q1520" s="693"/>
    </row>
    <row r="1521" spans="1:17" ht="13.5">
      <c r="A1521" s="693"/>
      <c r="B1521" s="693"/>
      <c r="C1521" s="693"/>
      <c r="D1521" s="693"/>
      <c r="E1521" s="693"/>
      <c r="F1521" s="693"/>
      <c r="G1521" s="693"/>
      <c r="H1521" s="693"/>
      <c r="I1521" s="693"/>
      <c r="J1521" s="693"/>
      <c r="K1521" s="693"/>
      <c r="L1521" s="693"/>
      <c r="M1521" s="693"/>
      <c r="N1521" s="693"/>
      <c r="O1521" s="693"/>
      <c r="P1521" s="693"/>
      <c r="Q1521" s="693"/>
    </row>
    <row r="1522" spans="1:17" ht="13.5">
      <c r="A1522" s="693"/>
      <c r="B1522" s="693"/>
      <c r="C1522" s="693"/>
      <c r="D1522" s="693"/>
      <c r="E1522" s="693"/>
      <c r="F1522" s="693"/>
      <c r="G1522" s="693"/>
      <c r="H1522" s="693"/>
      <c r="I1522" s="693"/>
      <c r="J1522" s="693"/>
      <c r="K1522" s="693"/>
      <c r="L1522" s="693"/>
      <c r="M1522" s="693"/>
      <c r="N1522" s="693"/>
      <c r="O1522" s="693"/>
      <c r="P1522" s="693"/>
      <c r="Q1522" s="693"/>
    </row>
    <row r="1523" spans="1:17" ht="13.5">
      <c r="A1523" s="693"/>
      <c r="B1523" s="693"/>
      <c r="C1523" s="693"/>
      <c r="D1523" s="693"/>
      <c r="E1523" s="693"/>
      <c r="F1523" s="693"/>
      <c r="G1523" s="693"/>
      <c r="H1523" s="693"/>
      <c r="I1523" s="693"/>
      <c r="J1523" s="693"/>
      <c r="K1523" s="693"/>
      <c r="L1523" s="693"/>
      <c r="M1523" s="693"/>
      <c r="N1523" s="693"/>
      <c r="O1523" s="693"/>
      <c r="P1523" s="693"/>
      <c r="Q1523" s="693"/>
    </row>
    <row r="1524" spans="1:17" ht="13.5">
      <c r="A1524" s="693"/>
      <c r="B1524" s="693"/>
      <c r="C1524" s="693"/>
      <c r="D1524" s="693"/>
      <c r="E1524" s="693"/>
      <c r="F1524" s="693"/>
      <c r="G1524" s="693"/>
      <c r="H1524" s="693"/>
      <c r="I1524" s="693"/>
      <c r="J1524" s="693"/>
      <c r="K1524" s="693"/>
      <c r="L1524" s="693"/>
      <c r="M1524" s="693"/>
      <c r="N1524" s="693"/>
      <c r="O1524" s="693"/>
      <c r="P1524" s="693"/>
      <c r="Q1524" s="693"/>
    </row>
    <row r="1525" spans="1:17" ht="13.5">
      <c r="A1525" s="693"/>
      <c r="B1525" s="693"/>
      <c r="C1525" s="693"/>
      <c r="D1525" s="693"/>
      <c r="E1525" s="693"/>
      <c r="F1525" s="693"/>
      <c r="G1525" s="693"/>
      <c r="H1525" s="693"/>
      <c r="I1525" s="693"/>
      <c r="J1525" s="693"/>
      <c r="K1525" s="693"/>
      <c r="L1525" s="693"/>
      <c r="M1525" s="693"/>
      <c r="N1525" s="693"/>
      <c r="O1525" s="693"/>
      <c r="P1525" s="693"/>
      <c r="Q1525" s="693"/>
    </row>
    <row r="1526" spans="1:17" ht="13.5">
      <c r="A1526" s="693"/>
      <c r="B1526" s="693"/>
      <c r="C1526" s="693"/>
      <c r="D1526" s="693"/>
      <c r="E1526" s="693"/>
      <c r="F1526" s="693"/>
      <c r="G1526" s="693"/>
      <c r="H1526" s="693"/>
      <c r="I1526" s="693"/>
      <c r="J1526" s="693"/>
      <c r="K1526" s="693"/>
      <c r="L1526" s="693"/>
      <c r="M1526" s="693"/>
      <c r="N1526" s="693"/>
      <c r="O1526" s="693"/>
      <c r="P1526" s="693"/>
      <c r="Q1526" s="693"/>
    </row>
    <row r="1527" spans="1:17" ht="13.5">
      <c r="A1527" s="693"/>
      <c r="B1527" s="693"/>
      <c r="C1527" s="693"/>
      <c r="D1527" s="693"/>
      <c r="E1527" s="693"/>
      <c r="F1527" s="693"/>
      <c r="G1527" s="693"/>
      <c r="H1527" s="693"/>
      <c r="I1527" s="693"/>
      <c r="J1527" s="693"/>
      <c r="K1527" s="693"/>
      <c r="L1527" s="693"/>
      <c r="M1527" s="693"/>
      <c r="N1527" s="693"/>
      <c r="O1527" s="693"/>
      <c r="P1527" s="693"/>
      <c r="Q1527" s="693"/>
    </row>
    <row r="1528" spans="1:17" ht="13.5">
      <c r="A1528" s="693"/>
      <c r="B1528" s="693"/>
      <c r="C1528" s="693"/>
      <c r="D1528" s="693"/>
      <c r="E1528" s="693"/>
      <c r="F1528" s="693"/>
      <c r="G1528" s="693"/>
      <c r="H1528" s="693"/>
      <c r="I1528" s="693"/>
      <c r="J1528" s="693"/>
      <c r="K1528" s="693"/>
      <c r="L1528" s="693"/>
      <c r="M1528" s="693"/>
      <c r="N1528" s="693"/>
      <c r="O1528" s="693"/>
      <c r="P1528" s="693"/>
      <c r="Q1528" s="693"/>
    </row>
    <row r="1529" spans="1:17" ht="13.5">
      <c r="A1529" s="693"/>
      <c r="B1529" s="693"/>
      <c r="C1529" s="693"/>
      <c r="D1529" s="693"/>
      <c r="E1529" s="693"/>
      <c r="F1529" s="693"/>
      <c r="G1529" s="693"/>
      <c r="H1529" s="693"/>
      <c r="I1529" s="693"/>
      <c r="J1529" s="693"/>
      <c r="K1529" s="693"/>
      <c r="L1529" s="693"/>
      <c r="M1529" s="693"/>
      <c r="N1529" s="693"/>
      <c r="O1529" s="693"/>
      <c r="P1529" s="693"/>
      <c r="Q1529" s="693"/>
    </row>
    <row r="1530" spans="1:17" ht="13.5">
      <c r="A1530" s="693"/>
      <c r="B1530" s="693"/>
      <c r="C1530" s="693"/>
      <c r="D1530" s="693"/>
      <c r="E1530" s="693"/>
      <c r="F1530" s="693"/>
      <c r="G1530" s="693"/>
      <c r="H1530" s="693"/>
      <c r="I1530" s="693"/>
      <c r="J1530" s="693"/>
      <c r="K1530" s="693"/>
      <c r="L1530" s="693"/>
      <c r="M1530" s="693"/>
      <c r="N1530" s="693"/>
      <c r="O1530" s="693"/>
      <c r="P1530" s="693"/>
      <c r="Q1530" s="693"/>
    </row>
    <row r="1531" spans="1:17" ht="13.5">
      <c r="A1531" s="693"/>
      <c r="B1531" s="693"/>
      <c r="C1531" s="693"/>
      <c r="D1531" s="693"/>
      <c r="E1531" s="693"/>
      <c r="F1531" s="693"/>
      <c r="G1531" s="693"/>
      <c r="H1531" s="693"/>
      <c r="I1531" s="693"/>
      <c r="J1531" s="693"/>
      <c r="K1531" s="693"/>
      <c r="L1531" s="693"/>
      <c r="M1531" s="693"/>
      <c r="N1531" s="693"/>
      <c r="O1531" s="693"/>
      <c r="P1531" s="693"/>
      <c r="Q1531" s="693"/>
    </row>
    <row r="1532" spans="1:17" ht="13.5">
      <c r="A1532" s="693"/>
      <c r="B1532" s="693"/>
      <c r="C1532" s="693"/>
      <c r="D1532" s="693"/>
      <c r="E1532" s="693"/>
      <c r="F1532" s="693"/>
      <c r="G1532" s="693"/>
      <c r="H1532" s="693"/>
      <c r="I1532" s="693"/>
      <c r="J1532" s="693"/>
      <c r="K1532" s="693"/>
      <c r="L1532" s="693"/>
      <c r="M1532" s="693"/>
      <c r="N1532" s="693"/>
      <c r="O1532" s="693"/>
      <c r="P1532" s="693"/>
      <c r="Q1532" s="693"/>
    </row>
    <row r="1533" spans="1:17" ht="13.5">
      <c r="A1533" s="693"/>
      <c r="B1533" s="693"/>
      <c r="C1533" s="693"/>
      <c r="D1533" s="693"/>
      <c r="E1533" s="693"/>
      <c r="F1533" s="693"/>
      <c r="G1533" s="693"/>
      <c r="H1533" s="693"/>
      <c r="I1533" s="693"/>
      <c r="J1533" s="693"/>
      <c r="K1533" s="693"/>
      <c r="L1533" s="693"/>
      <c r="M1533" s="693"/>
      <c r="N1533" s="693"/>
      <c r="O1533" s="693"/>
      <c r="P1533" s="693"/>
      <c r="Q1533" s="693"/>
    </row>
    <row r="1534" spans="1:17" ht="13.5">
      <c r="A1534" s="693"/>
      <c r="B1534" s="693"/>
      <c r="C1534" s="693"/>
      <c r="D1534" s="693"/>
      <c r="E1534" s="693"/>
      <c r="F1534" s="693"/>
      <c r="G1534" s="693"/>
      <c r="H1534" s="693"/>
      <c r="I1534" s="693"/>
      <c r="J1534" s="693"/>
      <c r="K1534" s="693"/>
      <c r="L1534" s="693"/>
      <c r="M1534" s="693"/>
      <c r="N1534" s="693"/>
      <c r="O1534" s="693"/>
      <c r="P1534" s="693"/>
      <c r="Q1534" s="693"/>
    </row>
    <row r="1535" spans="1:17" ht="13.5">
      <c r="A1535" s="693"/>
      <c r="B1535" s="693"/>
      <c r="C1535" s="693"/>
      <c r="D1535" s="693"/>
      <c r="E1535" s="693"/>
      <c r="F1535" s="693"/>
      <c r="G1535" s="693"/>
      <c r="H1535" s="693"/>
      <c r="I1535" s="693"/>
      <c r="J1535" s="693"/>
      <c r="K1535" s="693"/>
      <c r="L1535" s="693"/>
      <c r="M1535" s="693"/>
      <c r="N1535" s="693"/>
      <c r="O1535" s="693"/>
      <c r="P1535" s="693"/>
      <c r="Q1535" s="693"/>
    </row>
    <row r="1536" spans="1:17" ht="13.5">
      <c r="A1536" s="693"/>
      <c r="B1536" s="693"/>
      <c r="C1536" s="693"/>
      <c r="D1536" s="693"/>
      <c r="E1536" s="693"/>
      <c r="F1536" s="693"/>
      <c r="G1536" s="693"/>
      <c r="H1536" s="693"/>
      <c r="I1536" s="693"/>
      <c r="J1536" s="693"/>
      <c r="K1536" s="693"/>
      <c r="L1536" s="693"/>
      <c r="M1536" s="693"/>
      <c r="N1536" s="693"/>
      <c r="O1536" s="693"/>
      <c r="P1536" s="693"/>
      <c r="Q1536" s="693"/>
    </row>
    <row r="1537" spans="1:17" ht="13.5">
      <c r="A1537" s="693"/>
      <c r="B1537" s="693"/>
      <c r="C1537" s="693"/>
      <c r="D1537" s="693"/>
      <c r="E1537" s="693"/>
      <c r="F1537" s="693"/>
      <c r="G1537" s="693"/>
      <c r="H1537" s="693"/>
      <c r="I1537" s="693"/>
      <c r="J1537" s="693"/>
      <c r="K1537" s="693"/>
      <c r="L1537" s="693"/>
      <c r="M1537" s="693"/>
      <c r="N1537" s="693"/>
      <c r="O1537" s="693"/>
      <c r="P1537" s="693"/>
      <c r="Q1537" s="693"/>
    </row>
    <row r="1538" spans="1:17" ht="13.5">
      <c r="A1538" s="693"/>
      <c r="B1538" s="693"/>
      <c r="C1538" s="693"/>
      <c r="D1538" s="693"/>
      <c r="E1538" s="693"/>
      <c r="F1538" s="693"/>
      <c r="G1538" s="693"/>
      <c r="H1538" s="693"/>
      <c r="I1538" s="693"/>
      <c r="J1538" s="693"/>
      <c r="K1538" s="693"/>
      <c r="L1538" s="693"/>
      <c r="M1538" s="693"/>
      <c r="N1538" s="693"/>
      <c r="O1538" s="693"/>
      <c r="P1538" s="693"/>
      <c r="Q1538" s="693"/>
    </row>
    <row r="1539" spans="1:17" ht="13.5">
      <c r="A1539" s="693"/>
      <c r="B1539" s="693"/>
      <c r="C1539" s="693"/>
      <c r="D1539" s="693"/>
      <c r="E1539" s="693"/>
      <c r="F1539" s="693"/>
      <c r="G1539" s="693"/>
      <c r="H1539" s="693"/>
      <c r="I1539" s="693"/>
      <c r="J1539" s="693"/>
      <c r="K1539" s="693"/>
      <c r="L1539" s="693"/>
      <c r="M1539" s="693"/>
      <c r="N1539" s="693"/>
      <c r="O1539" s="693"/>
      <c r="P1539" s="693"/>
      <c r="Q1539" s="693"/>
    </row>
    <row r="1540" spans="1:17" ht="13.5">
      <c r="A1540" s="693"/>
      <c r="B1540" s="693"/>
      <c r="C1540" s="693"/>
      <c r="D1540" s="693"/>
      <c r="E1540" s="693"/>
      <c r="F1540" s="693"/>
      <c r="G1540" s="693"/>
      <c r="H1540" s="693"/>
      <c r="I1540" s="693"/>
      <c r="J1540" s="693"/>
      <c r="K1540" s="693"/>
      <c r="L1540" s="693"/>
      <c r="M1540" s="693"/>
      <c r="N1540" s="693"/>
      <c r="O1540" s="693"/>
      <c r="P1540" s="693"/>
      <c r="Q1540" s="693"/>
    </row>
    <row r="1541" spans="1:17" ht="13.5">
      <c r="A1541" s="693"/>
      <c r="B1541" s="693"/>
      <c r="C1541" s="693"/>
      <c r="D1541" s="693"/>
      <c r="E1541" s="693"/>
      <c r="F1541" s="693"/>
      <c r="G1541" s="693"/>
      <c r="H1541" s="693"/>
      <c r="I1541" s="693"/>
      <c r="J1541" s="693"/>
      <c r="K1541" s="693"/>
      <c r="L1541" s="693"/>
      <c r="M1541" s="693"/>
      <c r="N1541" s="693"/>
      <c r="O1541" s="693"/>
      <c r="P1541" s="693"/>
      <c r="Q1541" s="693"/>
    </row>
    <row r="1542" spans="1:17" ht="13.5">
      <c r="A1542" s="693"/>
      <c r="B1542" s="693"/>
      <c r="C1542" s="693"/>
      <c r="D1542" s="693"/>
      <c r="E1542" s="693"/>
      <c r="F1542" s="693"/>
      <c r="G1542" s="693"/>
      <c r="H1542" s="693"/>
      <c r="I1542" s="693"/>
      <c r="J1542" s="693"/>
      <c r="K1542" s="693"/>
      <c r="L1542" s="693"/>
      <c r="M1542" s="693"/>
      <c r="N1542" s="693"/>
      <c r="O1542" s="693"/>
      <c r="P1542" s="693"/>
      <c r="Q1542" s="693"/>
    </row>
    <row r="1543" spans="1:17" ht="13.5">
      <c r="A1543" s="693"/>
      <c r="B1543" s="693"/>
      <c r="C1543" s="693"/>
      <c r="D1543" s="693"/>
      <c r="E1543" s="693"/>
      <c r="F1543" s="693"/>
      <c r="G1543" s="693"/>
      <c r="H1543" s="693"/>
      <c r="I1543" s="693"/>
      <c r="J1543" s="693"/>
      <c r="K1543" s="693"/>
      <c r="L1543" s="693"/>
      <c r="M1543" s="693"/>
      <c r="N1543" s="693"/>
      <c r="O1543" s="693"/>
      <c r="P1543" s="693"/>
      <c r="Q1543" s="693"/>
    </row>
    <row r="1544" spans="1:17" ht="13.5">
      <c r="A1544" s="693"/>
      <c r="B1544" s="693"/>
      <c r="C1544" s="693"/>
      <c r="D1544" s="693"/>
      <c r="E1544" s="693"/>
      <c r="F1544" s="693"/>
      <c r="G1544" s="693"/>
      <c r="H1544" s="693"/>
      <c r="I1544" s="693"/>
      <c r="J1544" s="693"/>
      <c r="K1544" s="693"/>
      <c r="L1544" s="693"/>
      <c r="M1544" s="693"/>
      <c r="N1544" s="693"/>
      <c r="O1544" s="693"/>
      <c r="P1544" s="693"/>
      <c r="Q1544" s="693"/>
    </row>
    <row r="1545" spans="1:17" ht="13.5">
      <c r="A1545" s="693"/>
      <c r="B1545" s="693"/>
      <c r="C1545" s="693"/>
      <c r="D1545" s="693"/>
      <c r="E1545" s="693"/>
      <c r="F1545" s="693"/>
      <c r="G1545" s="693"/>
      <c r="H1545" s="693"/>
      <c r="I1545" s="693"/>
      <c r="J1545" s="693"/>
      <c r="K1545" s="693"/>
      <c r="L1545" s="693"/>
      <c r="M1545" s="693"/>
      <c r="N1545" s="693"/>
      <c r="O1545" s="693"/>
      <c r="P1545" s="693"/>
      <c r="Q1545" s="693"/>
    </row>
    <row r="1546" spans="1:17" ht="13.5">
      <c r="A1546" s="693"/>
      <c r="B1546" s="693"/>
      <c r="C1546" s="693"/>
      <c r="D1546" s="693"/>
      <c r="E1546" s="693"/>
      <c r="F1546" s="693"/>
      <c r="G1546" s="693"/>
      <c r="H1546" s="693"/>
      <c r="I1546" s="693"/>
      <c r="J1546" s="693"/>
      <c r="K1546" s="693"/>
      <c r="L1546" s="693"/>
      <c r="M1546" s="693"/>
      <c r="N1546" s="693"/>
      <c r="O1546" s="693"/>
      <c r="P1546" s="693"/>
      <c r="Q1546" s="693"/>
    </row>
    <row r="1547" spans="1:17" ht="13.5">
      <c r="A1547" s="693"/>
      <c r="B1547" s="693"/>
      <c r="C1547" s="693"/>
      <c r="D1547" s="693"/>
      <c r="E1547" s="693"/>
      <c r="F1547" s="693"/>
      <c r="G1547" s="693"/>
      <c r="H1547" s="693"/>
      <c r="I1547" s="693"/>
      <c r="J1547" s="693"/>
      <c r="K1547" s="693"/>
      <c r="L1547" s="693"/>
      <c r="M1547" s="693"/>
      <c r="N1547" s="693"/>
      <c r="O1547" s="693"/>
      <c r="P1547" s="693"/>
      <c r="Q1547" s="693"/>
    </row>
    <row r="1548" spans="1:17" ht="13.5">
      <c r="A1548" s="693"/>
      <c r="B1548" s="693"/>
      <c r="C1548" s="693"/>
      <c r="D1548" s="693"/>
      <c r="E1548" s="693"/>
      <c r="F1548" s="693"/>
      <c r="G1548" s="693"/>
      <c r="H1548" s="693"/>
      <c r="I1548" s="693"/>
      <c r="J1548" s="693"/>
      <c r="K1548" s="693"/>
      <c r="L1548" s="693"/>
      <c r="M1548" s="693"/>
      <c r="N1548" s="693"/>
      <c r="O1548" s="693"/>
      <c r="P1548" s="693"/>
      <c r="Q1548" s="693"/>
    </row>
    <row r="1549" spans="1:17" ht="13.5">
      <c r="A1549" s="693"/>
      <c r="B1549" s="693"/>
      <c r="C1549" s="693"/>
      <c r="D1549" s="693"/>
      <c r="E1549" s="693"/>
      <c r="F1549" s="693"/>
      <c r="G1549" s="693"/>
      <c r="H1549" s="693"/>
      <c r="I1549" s="693"/>
      <c r="J1549" s="693"/>
      <c r="K1549" s="693"/>
      <c r="L1549" s="693"/>
      <c r="M1549" s="693"/>
      <c r="N1549" s="693"/>
      <c r="O1549" s="693"/>
      <c r="P1549" s="693"/>
      <c r="Q1549" s="693"/>
    </row>
    <row r="1550" spans="1:17" ht="13.5">
      <c r="A1550" s="693"/>
      <c r="B1550" s="693"/>
      <c r="C1550" s="693"/>
      <c r="D1550" s="693"/>
      <c r="E1550" s="693"/>
      <c r="F1550" s="693"/>
      <c r="G1550" s="693"/>
      <c r="H1550" s="693"/>
      <c r="I1550" s="693"/>
      <c r="J1550" s="693"/>
      <c r="K1550" s="693"/>
      <c r="L1550" s="693"/>
      <c r="M1550" s="693"/>
      <c r="N1550" s="693"/>
      <c r="O1550" s="693"/>
      <c r="P1550" s="693"/>
      <c r="Q1550" s="693"/>
    </row>
    <row r="1551" spans="1:17" ht="13.5">
      <c r="A1551" s="693"/>
      <c r="B1551" s="693"/>
      <c r="C1551" s="693"/>
      <c r="D1551" s="693"/>
      <c r="E1551" s="693"/>
      <c r="F1551" s="693"/>
      <c r="G1551" s="693"/>
      <c r="H1551" s="693"/>
      <c r="I1551" s="693"/>
      <c r="J1551" s="693"/>
      <c r="K1551" s="693"/>
      <c r="L1551" s="693"/>
      <c r="M1551" s="693"/>
      <c r="N1551" s="693"/>
      <c r="O1551" s="693"/>
      <c r="P1551" s="693"/>
      <c r="Q1551" s="693"/>
    </row>
    <row r="1552" spans="1:17" ht="13.5">
      <c r="A1552" s="693"/>
      <c r="B1552" s="693"/>
      <c r="C1552" s="693"/>
      <c r="D1552" s="693"/>
      <c r="E1552" s="693"/>
      <c r="F1552" s="693"/>
      <c r="G1552" s="693"/>
      <c r="H1552" s="693"/>
      <c r="I1552" s="693"/>
      <c r="J1552" s="693"/>
      <c r="K1552" s="693"/>
      <c r="L1552" s="693"/>
      <c r="M1552" s="693"/>
      <c r="N1552" s="693"/>
      <c r="O1552" s="693"/>
      <c r="P1552" s="693"/>
      <c r="Q1552" s="693"/>
    </row>
    <row r="1553" spans="1:17" ht="13.5">
      <c r="A1553" s="693"/>
      <c r="B1553" s="693"/>
      <c r="C1553" s="693"/>
      <c r="D1553" s="693"/>
      <c r="E1553" s="693"/>
      <c r="F1553" s="693"/>
      <c r="G1553" s="693"/>
      <c r="H1553" s="693"/>
      <c r="I1553" s="693"/>
      <c r="J1553" s="693"/>
      <c r="K1553" s="693"/>
      <c r="L1553" s="693"/>
      <c r="M1553" s="693"/>
      <c r="N1553" s="693"/>
      <c r="O1553" s="693"/>
      <c r="P1553" s="693"/>
      <c r="Q1553" s="693"/>
    </row>
    <row r="1554" spans="1:17" ht="13.5">
      <c r="A1554" s="693"/>
      <c r="B1554" s="693"/>
      <c r="C1554" s="693"/>
      <c r="D1554" s="693"/>
      <c r="E1554" s="693"/>
      <c r="F1554" s="693"/>
      <c r="G1554" s="693"/>
      <c r="H1554" s="693"/>
      <c r="I1554" s="693"/>
      <c r="J1554" s="693"/>
      <c r="K1554" s="693"/>
      <c r="L1554" s="693"/>
      <c r="M1554" s="693"/>
      <c r="N1554" s="693"/>
      <c r="O1554" s="693"/>
      <c r="P1554" s="693"/>
      <c r="Q1554" s="693"/>
    </row>
    <row r="1555" spans="1:17" ht="13.5">
      <c r="A1555" s="693"/>
      <c r="B1555" s="693"/>
      <c r="C1555" s="693"/>
      <c r="D1555" s="693"/>
      <c r="E1555" s="693"/>
      <c r="F1555" s="693"/>
      <c r="G1555" s="693"/>
      <c r="H1555" s="693"/>
      <c r="I1555" s="693"/>
      <c r="J1555" s="693"/>
      <c r="K1555" s="693"/>
      <c r="L1555" s="693"/>
      <c r="M1555" s="693"/>
      <c r="N1555" s="693"/>
      <c r="O1555" s="693"/>
      <c r="P1555" s="693"/>
      <c r="Q1555" s="693"/>
    </row>
    <row r="1556" spans="1:17" ht="13.5">
      <c r="A1556" s="693"/>
      <c r="B1556" s="693"/>
      <c r="C1556" s="693"/>
      <c r="D1556" s="693"/>
      <c r="E1556" s="693"/>
      <c r="F1556" s="693"/>
      <c r="G1556" s="693"/>
      <c r="H1556" s="693"/>
      <c r="I1556" s="693"/>
      <c r="J1556" s="693"/>
      <c r="K1556" s="693"/>
      <c r="L1556" s="693"/>
      <c r="M1556" s="693"/>
      <c r="N1556" s="693"/>
      <c r="O1556" s="693"/>
      <c r="P1556" s="693"/>
      <c r="Q1556" s="693"/>
    </row>
    <row r="1557" spans="1:17" ht="13.5">
      <c r="A1557" s="693"/>
      <c r="B1557" s="693"/>
      <c r="C1557" s="693"/>
      <c r="D1557" s="693"/>
      <c r="E1557" s="693"/>
      <c r="F1557" s="693"/>
      <c r="G1557" s="693"/>
      <c r="H1557" s="693"/>
      <c r="I1557" s="693"/>
      <c r="J1557" s="693"/>
      <c r="K1557" s="693"/>
      <c r="L1557" s="693"/>
      <c r="M1557" s="693"/>
      <c r="N1557" s="693"/>
      <c r="O1557" s="693"/>
      <c r="P1557" s="693"/>
      <c r="Q1557" s="693"/>
    </row>
    <row r="1558" spans="1:17" ht="13.5">
      <c r="A1558" s="693"/>
      <c r="B1558" s="693"/>
      <c r="C1558" s="693"/>
      <c r="D1558" s="693"/>
      <c r="E1558" s="693"/>
      <c r="F1558" s="693"/>
      <c r="G1558" s="693"/>
      <c r="H1558" s="693"/>
      <c r="I1558" s="693"/>
      <c r="J1558" s="693"/>
      <c r="K1558" s="693"/>
      <c r="L1558" s="693"/>
      <c r="M1558" s="693"/>
      <c r="N1558" s="693"/>
      <c r="O1558" s="693"/>
      <c r="P1558" s="693"/>
      <c r="Q1558" s="693"/>
    </row>
    <row r="1559" spans="1:17" ht="13.5">
      <c r="A1559" s="693"/>
      <c r="B1559" s="693"/>
      <c r="C1559" s="693"/>
      <c r="D1559" s="693"/>
      <c r="E1559" s="693"/>
      <c r="F1559" s="693"/>
      <c r="G1559" s="693"/>
      <c r="H1559" s="693"/>
      <c r="I1559" s="693"/>
      <c r="J1559" s="693"/>
      <c r="K1559" s="693"/>
      <c r="L1559" s="693"/>
      <c r="M1559" s="693"/>
      <c r="N1559" s="693"/>
      <c r="O1559" s="693"/>
      <c r="P1559" s="693"/>
      <c r="Q1559" s="693"/>
    </row>
    <row r="1560" spans="1:17" ht="13.5">
      <c r="A1560" s="693"/>
      <c r="B1560" s="693"/>
      <c r="C1560" s="693"/>
      <c r="D1560" s="693"/>
      <c r="E1560" s="693"/>
      <c r="F1560" s="693"/>
      <c r="G1560" s="693"/>
      <c r="H1560" s="693"/>
      <c r="I1560" s="693"/>
      <c r="J1560" s="693"/>
      <c r="K1560" s="693"/>
      <c r="L1560" s="693"/>
      <c r="M1560" s="693"/>
      <c r="N1560" s="693"/>
      <c r="O1560" s="693"/>
      <c r="P1560" s="693"/>
      <c r="Q1560" s="693"/>
    </row>
    <row r="1561" spans="1:17" ht="13.5">
      <c r="A1561" s="693"/>
      <c r="B1561" s="693"/>
      <c r="C1561" s="693"/>
      <c r="D1561" s="693"/>
      <c r="E1561" s="693"/>
      <c r="F1561" s="693"/>
      <c r="G1561" s="693"/>
      <c r="H1561" s="693"/>
      <c r="I1561" s="693"/>
      <c r="J1561" s="693"/>
      <c r="K1561" s="693"/>
      <c r="L1561" s="693"/>
      <c r="M1561" s="693"/>
      <c r="N1561" s="693"/>
      <c r="O1561" s="693"/>
      <c r="P1561" s="693"/>
      <c r="Q1561" s="693"/>
    </row>
    <row r="1562" spans="1:17" ht="13.5">
      <c r="A1562" s="693"/>
      <c r="B1562" s="693"/>
      <c r="C1562" s="693"/>
      <c r="D1562" s="693"/>
      <c r="E1562" s="693"/>
      <c r="F1562" s="693"/>
      <c r="G1562" s="693"/>
      <c r="H1562" s="693"/>
      <c r="I1562" s="693"/>
      <c r="J1562" s="693"/>
      <c r="K1562" s="693"/>
      <c r="L1562" s="693"/>
      <c r="M1562" s="693"/>
      <c r="N1562" s="693"/>
      <c r="O1562" s="693"/>
      <c r="P1562" s="693"/>
      <c r="Q1562" s="693"/>
    </row>
    <row r="1563" spans="1:17" ht="13.5">
      <c r="A1563" s="693"/>
      <c r="B1563" s="693"/>
      <c r="C1563" s="693"/>
      <c r="D1563" s="693"/>
      <c r="E1563" s="693"/>
      <c r="F1563" s="693"/>
      <c r="G1563" s="693"/>
      <c r="H1563" s="693"/>
      <c r="I1563" s="693"/>
      <c r="J1563" s="693"/>
      <c r="K1563" s="693"/>
      <c r="L1563" s="693"/>
      <c r="M1563" s="693"/>
      <c r="N1563" s="693"/>
      <c r="O1563" s="693"/>
      <c r="P1563" s="693"/>
      <c r="Q1563" s="693"/>
    </row>
    <row r="1564" spans="1:17" ht="13.5">
      <c r="A1564" s="693"/>
      <c r="B1564" s="693"/>
      <c r="C1564" s="693"/>
      <c r="D1564" s="693"/>
      <c r="E1564" s="693"/>
      <c r="F1564" s="693"/>
      <c r="G1564" s="693"/>
      <c r="H1564" s="693"/>
      <c r="I1564" s="693"/>
      <c r="J1564" s="693"/>
      <c r="K1564" s="693"/>
      <c r="L1564" s="693"/>
      <c r="M1564" s="693"/>
      <c r="N1564" s="693"/>
      <c r="O1564" s="693"/>
      <c r="P1564" s="693"/>
      <c r="Q1564" s="693"/>
    </row>
    <row r="1565" spans="1:17" ht="13.5">
      <c r="A1565" s="693"/>
      <c r="B1565" s="693"/>
      <c r="C1565" s="693"/>
      <c r="D1565" s="693"/>
      <c r="E1565" s="693"/>
      <c r="F1565" s="693"/>
      <c r="G1565" s="693"/>
      <c r="H1565" s="693"/>
      <c r="I1565" s="693"/>
      <c r="J1565" s="693"/>
      <c r="K1565" s="693"/>
      <c r="L1565" s="693"/>
      <c r="M1565" s="693"/>
      <c r="N1565" s="693"/>
      <c r="O1565" s="693"/>
      <c r="P1565" s="693"/>
      <c r="Q1565" s="693"/>
    </row>
    <row r="1566" spans="1:17" ht="13.5">
      <c r="A1566" s="693"/>
      <c r="B1566" s="693"/>
      <c r="C1566" s="693"/>
      <c r="D1566" s="693"/>
      <c r="E1566" s="693"/>
      <c r="F1566" s="693"/>
      <c r="G1566" s="693"/>
      <c r="H1566" s="693"/>
      <c r="I1566" s="693"/>
      <c r="J1566" s="693"/>
      <c r="K1566" s="693"/>
      <c r="L1566" s="693"/>
      <c r="M1566" s="693"/>
      <c r="N1566" s="693"/>
      <c r="O1566" s="693"/>
      <c r="P1566" s="693"/>
      <c r="Q1566" s="693"/>
    </row>
    <row r="1567" spans="1:17" ht="13.5">
      <c r="A1567" s="693"/>
      <c r="B1567" s="693"/>
      <c r="C1567" s="693"/>
      <c r="D1567" s="693"/>
      <c r="E1567" s="693"/>
      <c r="F1567" s="693"/>
      <c r="G1567" s="693"/>
      <c r="H1567" s="693"/>
      <c r="I1567" s="693"/>
      <c r="J1567" s="693"/>
      <c r="K1567" s="693"/>
      <c r="L1567" s="693"/>
      <c r="M1567" s="693"/>
      <c r="N1567" s="693"/>
      <c r="O1567" s="693"/>
      <c r="P1567" s="693"/>
      <c r="Q1567" s="693"/>
    </row>
    <row r="1568" spans="1:17" ht="13.5">
      <c r="A1568" s="693"/>
      <c r="B1568" s="693"/>
      <c r="C1568" s="693"/>
      <c r="D1568" s="693"/>
      <c r="E1568" s="693"/>
      <c r="F1568" s="693"/>
      <c r="G1568" s="693"/>
      <c r="H1568" s="693"/>
      <c r="I1568" s="693"/>
      <c r="J1568" s="693"/>
      <c r="K1568" s="693"/>
      <c r="L1568" s="693"/>
      <c r="M1568" s="693"/>
      <c r="N1568" s="693"/>
      <c r="O1568" s="693"/>
      <c r="P1568" s="693"/>
      <c r="Q1568" s="693"/>
    </row>
    <row r="1569" spans="1:17" ht="13.5">
      <c r="A1569" s="693"/>
      <c r="B1569" s="693"/>
      <c r="C1569" s="693"/>
      <c r="D1569" s="693"/>
      <c r="E1569" s="693"/>
      <c r="F1569" s="693"/>
      <c r="G1569" s="693"/>
      <c r="H1569" s="693"/>
      <c r="I1569" s="693"/>
      <c r="J1569" s="693"/>
      <c r="K1569" s="693"/>
      <c r="L1569" s="693"/>
      <c r="M1569" s="693"/>
      <c r="N1569" s="693"/>
      <c r="O1569" s="693"/>
      <c r="P1569" s="693"/>
      <c r="Q1569" s="693"/>
    </row>
    <row r="1570" spans="1:17" ht="13.5">
      <c r="A1570" s="693"/>
      <c r="B1570" s="693"/>
      <c r="C1570" s="693"/>
      <c r="D1570" s="693"/>
      <c r="E1570" s="693"/>
      <c r="F1570" s="693"/>
      <c r="G1570" s="693"/>
      <c r="H1570" s="693"/>
      <c r="I1570" s="693"/>
      <c r="J1570" s="693"/>
      <c r="K1570" s="693"/>
      <c r="L1570" s="693"/>
      <c r="M1570" s="693"/>
      <c r="N1570" s="693"/>
      <c r="O1570" s="693"/>
      <c r="P1570" s="693"/>
      <c r="Q1570" s="693"/>
    </row>
    <row r="1571" spans="1:17" ht="13.5">
      <c r="A1571" s="693"/>
      <c r="B1571" s="693"/>
      <c r="C1571" s="693"/>
      <c r="D1571" s="693"/>
      <c r="E1571" s="693"/>
      <c r="F1571" s="693"/>
      <c r="G1571" s="693"/>
      <c r="H1571" s="693"/>
      <c r="I1571" s="693"/>
      <c r="J1571" s="693"/>
      <c r="K1571" s="693"/>
      <c r="L1571" s="693"/>
      <c r="M1571" s="693"/>
      <c r="N1571" s="693"/>
      <c r="O1571" s="693"/>
      <c r="P1571" s="693"/>
      <c r="Q1571" s="693"/>
    </row>
    <row r="1572" spans="1:17" ht="13.5">
      <c r="A1572" s="693"/>
      <c r="B1572" s="693"/>
      <c r="C1572" s="693"/>
      <c r="D1572" s="693"/>
      <c r="E1572" s="693"/>
      <c r="F1572" s="693"/>
      <c r="G1572" s="693"/>
      <c r="H1572" s="693"/>
      <c r="I1572" s="693"/>
      <c r="J1572" s="693"/>
      <c r="K1572" s="693"/>
      <c r="L1572" s="693"/>
      <c r="M1572" s="693"/>
      <c r="N1572" s="693"/>
      <c r="O1572" s="693"/>
      <c r="P1572" s="693"/>
      <c r="Q1572" s="693"/>
    </row>
    <row r="1573" spans="1:17" ht="13.5">
      <c r="A1573" s="693"/>
      <c r="B1573" s="693"/>
      <c r="C1573" s="693"/>
      <c r="D1573" s="693"/>
      <c r="E1573" s="693"/>
      <c r="F1573" s="693"/>
      <c r="G1573" s="693"/>
      <c r="H1573" s="693"/>
      <c r="I1573" s="693"/>
      <c r="J1573" s="693"/>
      <c r="K1573" s="693"/>
      <c r="L1573" s="693"/>
      <c r="M1573" s="693"/>
      <c r="N1573" s="693"/>
      <c r="O1573" s="693"/>
      <c r="P1573" s="693"/>
      <c r="Q1573" s="693"/>
    </row>
    <row r="1574" spans="1:17" ht="13.5">
      <c r="A1574" s="693"/>
      <c r="B1574" s="693"/>
      <c r="C1574" s="693"/>
      <c r="D1574" s="693"/>
      <c r="E1574" s="693"/>
      <c r="F1574" s="693"/>
      <c r="G1574" s="693"/>
      <c r="H1574" s="693"/>
      <c r="I1574" s="693"/>
      <c r="J1574" s="693"/>
      <c r="K1574" s="693"/>
      <c r="L1574" s="693"/>
      <c r="M1574" s="693"/>
      <c r="N1574" s="693"/>
      <c r="O1574" s="693"/>
      <c r="P1574" s="693"/>
      <c r="Q1574" s="693"/>
    </row>
    <row r="1575" spans="1:17" ht="13.5">
      <c r="A1575" s="693"/>
      <c r="B1575" s="693"/>
      <c r="C1575" s="693"/>
      <c r="D1575" s="693"/>
      <c r="E1575" s="693"/>
      <c r="F1575" s="693"/>
      <c r="G1575" s="693"/>
      <c r="H1575" s="693"/>
      <c r="I1575" s="693"/>
      <c r="J1575" s="693"/>
      <c r="K1575" s="693"/>
      <c r="L1575" s="693"/>
      <c r="M1575" s="693"/>
      <c r="N1575" s="693"/>
      <c r="O1575" s="693"/>
      <c r="P1575" s="693"/>
      <c r="Q1575" s="693"/>
    </row>
    <row r="1576" spans="1:17" ht="13.5">
      <c r="A1576" s="693"/>
      <c r="B1576" s="693"/>
      <c r="C1576" s="693"/>
      <c r="D1576" s="693"/>
      <c r="E1576" s="693"/>
      <c r="F1576" s="693"/>
      <c r="G1576" s="693"/>
      <c r="H1576" s="693"/>
      <c r="I1576" s="693"/>
      <c r="J1576" s="693"/>
      <c r="K1576" s="693"/>
      <c r="L1576" s="693"/>
      <c r="M1576" s="693"/>
      <c r="N1576" s="693"/>
      <c r="O1576" s="693"/>
      <c r="P1576" s="693"/>
      <c r="Q1576" s="693"/>
    </row>
    <row r="1577" spans="1:17" ht="13.5">
      <c r="A1577" s="693"/>
      <c r="B1577" s="693"/>
      <c r="C1577" s="693"/>
      <c r="D1577" s="693"/>
      <c r="E1577" s="693"/>
      <c r="F1577" s="693"/>
      <c r="G1577" s="693"/>
      <c r="H1577" s="693"/>
      <c r="I1577" s="693"/>
      <c r="J1577" s="693"/>
      <c r="K1577" s="693"/>
      <c r="L1577" s="693"/>
      <c r="M1577" s="693"/>
      <c r="N1577" s="693"/>
      <c r="O1577" s="693"/>
      <c r="P1577" s="693"/>
      <c r="Q1577" s="693"/>
    </row>
    <row r="1578" spans="1:17" ht="13.5">
      <c r="A1578" s="693"/>
      <c r="B1578" s="693"/>
      <c r="C1578" s="693"/>
      <c r="D1578" s="693"/>
      <c r="E1578" s="693"/>
      <c r="F1578" s="693"/>
      <c r="G1578" s="693"/>
      <c r="H1578" s="693"/>
      <c r="I1578" s="693"/>
      <c r="J1578" s="693"/>
      <c r="K1578" s="693"/>
      <c r="L1578" s="693"/>
      <c r="M1578" s="693"/>
      <c r="N1578" s="693"/>
      <c r="O1578" s="693"/>
      <c r="P1578" s="693"/>
      <c r="Q1578" s="693"/>
    </row>
    <row r="1579" spans="1:17" ht="13.5">
      <c r="A1579" s="693"/>
      <c r="B1579" s="693"/>
      <c r="C1579" s="693"/>
      <c r="D1579" s="693"/>
      <c r="E1579" s="693"/>
      <c r="F1579" s="693"/>
      <c r="G1579" s="693"/>
      <c r="H1579" s="693"/>
      <c r="I1579" s="693"/>
      <c r="J1579" s="693"/>
      <c r="K1579" s="693"/>
      <c r="L1579" s="693"/>
      <c r="M1579" s="693"/>
      <c r="N1579" s="693"/>
      <c r="O1579" s="693"/>
      <c r="P1579" s="693"/>
      <c r="Q1579" s="693"/>
    </row>
    <row r="1580" spans="1:17" ht="13.5">
      <c r="A1580" s="693"/>
      <c r="B1580" s="693"/>
      <c r="C1580" s="693"/>
      <c r="D1580" s="693"/>
      <c r="E1580" s="693"/>
      <c r="F1580" s="693"/>
      <c r="G1580" s="693"/>
      <c r="H1580" s="693"/>
      <c r="I1580" s="693"/>
      <c r="J1580" s="693"/>
      <c r="K1580" s="693"/>
      <c r="L1580" s="693"/>
      <c r="M1580" s="693"/>
      <c r="N1580" s="693"/>
      <c r="O1580" s="693"/>
      <c r="P1580" s="693"/>
      <c r="Q1580" s="693"/>
    </row>
    <row r="1581" spans="1:17" ht="13.5">
      <c r="A1581" s="693"/>
      <c r="B1581" s="693"/>
      <c r="C1581" s="693"/>
      <c r="D1581" s="693"/>
      <c r="E1581" s="693"/>
      <c r="F1581" s="693"/>
      <c r="G1581" s="693"/>
      <c r="H1581" s="693"/>
      <c r="I1581" s="693"/>
      <c r="J1581" s="693"/>
      <c r="K1581" s="693"/>
      <c r="L1581" s="693"/>
      <c r="M1581" s="693"/>
      <c r="N1581" s="693"/>
      <c r="O1581" s="693"/>
      <c r="P1581" s="693"/>
      <c r="Q1581" s="693"/>
    </row>
    <row r="1582" spans="1:17" ht="13.5">
      <c r="A1582" s="693"/>
      <c r="B1582" s="693"/>
      <c r="C1582" s="693"/>
      <c r="D1582" s="693"/>
      <c r="E1582" s="693"/>
      <c r="F1582" s="693"/>
      <c r="G1582" s="693"/>
      <c r="H1582" s="693"/>
      <c r="I1582" s="693"/>
      <c r="J1582" s="693"/>
      <c r="K1582" s="693"/>
      <c r="L1582" s="693"/>
      <c r="M1582" s="693"/>
      <c r="N1582" s="693"/>
      <c r="O1582" s="693"/>
      <c r="P1582" s="693"/>
      <c r="Q1582" s="693"/>
    </row>
    <row r="1583" spans="1:17" ht="13.5">
      <c r="A1583" s="693"/>
      <c r="B1583" s="693"/>
      <c r="C1583" s="693"/>
      <c r="D1583" s="693"/>
      <c r="E1583" s="693"/>
      <c r="F1583" s="693"/>
      <c r="G1583" s="693"/>
      <c r="H1583" s="693"/>
      <c r="I1583" s="693"/>
      <c r="J1583" s="693"/>
      <c r="K1583" s="693"/>
      <c r="L1583" s="693"/>
      <c r="M1583" s="693"/>
      <c r="N1583" s="693"/>
      <c r="O1583" s="693"/>
      <c r="P1583" s="693"/>
      <c r="Q1583" s="693"/>
    </row>
    <row r="1584" spans="1:17" ht="13.5">
      <c r="A1584" s="693"/>
      <c r="B1584" s="693"/>
      <c r="C1584" s="693"/>
      <c r="D1584" s="693"/>
      <c r="E1584" s="693"/>
      <c r="F1584" s="693"/>
      <c r="G1584" s="693"/>
      <c r="H1584" s="693"/>
      <c r="I1584" s="693"/>
      <c r="J1584" s="693"/>
      <c r="K1584" s="693"/>
      <c r="L1584" s="693"/>
      <c r="M1584" s="693"/>
      <c r="N1584" s="693"/>
      <c r="O1584" s="693"/>
      <c r="P1584" s="693"/>
      <c r="Q1584" s="693"/>
    </row>
    <row r="1585" spans="1:17" ht="13.5">
      <c r="A1585" s="693"/>
      <c r="B1585" s="693"/>
      <c r="C1585" s="693"/>
      <c r="D1585" s="693"/>
      <c r="E1585" s="693"/>
      <c r="F1585" s="693"/>
      <c r="G1585" s="693"/>
      <c r="H1585" s="693"/>
      <c r="I1585" s="693"/>
      <c r="J1585" s="693"/>
      <c r="K1585" s="693"/>
      <c r="L1585" s="693"/>
      <c r="M1585" s="693"/>
      <c r="N1585" s="693"/>
      <c r="O1585" s="693"/>
      <c r="P1585" s="693"/>
      <c r="Q1585" s="693"/>
    </row>
    <row r="1586" spans="1:17" ht="13.5">
      <c r="A1586" s="693"/>
      <c r="B1586" s="693"/>
      <c r="C1586" s="693"/>
      <c r="D1586" s="693"/>
      <c r="E1586" s="693"/>
      <c r="F1586" s="693"/>
      <c r="G1586" s="693"/>
      <c r="H1586" s="693"/>
      <c r="I1586" s="693"/>
      <c r="J1586" s="693"/>
      <c r="K1586" s="693"/>
      <c r="L1586" s="693"/>
      <c r="M1586" s="693"/>
      <c r="N1586" s="693"/>
      <c r="O1586" s="693"/>
      <c r="P1586" s="693"/>
      <c r="Q1586" s="693"/>
    </row>
    <row r="1587" spans="1:17" ht="13.5">
      <c r="A1587" s="693"/>
      <c r="B1587" s="693"/>
      <c r="C1587" s="693"/>
      <c r="D1587" s="693"/>
      <c r="E1587" s="693"/>
      <c r="F1587" s="693"/>
      <c r="G1587" s="693"/>
      <c r="H1587" s="693"/>
      <c r="I1587" s="693"/>
      <c r="J1587" s="693"/>
      <c r="K1587" s="693"/>
      <c r="L1587" s="693"/>
      <c r="M1587" s="693"/>
      <c r="N1587" s="693"/>
      <c r="O1587" s="693"/>
      <c r="P1587" s="693"/>
      <c r="Q1587" s="693"/>
    </row>
    <row r="1588" spans="1:17" ht="13.5">
      <c r="A1588" s="693"/>
      <c r="B1588" s="693"/>
      <c r="C1588" s="693"/>
      <c r="D1588" s="693"/>
      <c r="E1588" s="693"/>
      <c r="F1588" s="693"/>
      <c r="G1588" s="693"/>
      <c r="H1588" s="693"/>
      <c r="I1588" s="693"/>
      <c r="J1588" s="693"/>
      <c r="K1588" s="693"/>
      <c r="L1588" s="693"/>
      <c r="M1588" s="693"/>
      <c r="N1588" s="693"/>
      <c r="O1588" s="693"/>
      <c r="P1588" s="693"/>
      <c r="Q1588" s="693"/>
    </row>
    <row r="1589" spans="1:17" ht="13.5">
      <c r="A1589" s="693"/>
      <c r="B1589" s="693"/>
      <c r="C1589" s="693"/>
      <c r="D1589" s="693"/>
      <c r="E1589" s="693"/>
      <c r="F1589" s="693"/>
      <c r="G1589" s="693"/>
      <c r="H1589" s="693"/>
      <c r="I1589" s="693"/>
      <c r="J1589" s="693"/>
      <c r="K1589" s="693"/>
      <c r="L1589" s="693"/>
      <c r="M1589" s="693"/>
      <c r="N1589" s="693"/>
      <c r="O1589" s="693"/>
      <c r="P1589" s="693"/>
      <c r="Q1589" s="693"/>
    </row>
    <row r="1590" spans="1:17" ht="13.5">
      <c r="A1590" s="693"/>
      <c r="B1590" s="693"/>
      <c r="C1590" s="693"/>
      <c r="D1590" s="693"/>
      <c r="E1590" s="693"/>
      <c r="F1590" s="693"/>
      <c r="G1590" s="693"/>
      <c r="H1590" s="693"/>
      <c r="I1590" s="693"/>
      <c r="J1590" s="693"/>
      <c r="K1590" s="693"/>
      <c r="L1590" s="693"/>
      <c r="M1590" s="693"/>
      <c r="N1590" s="693"/>
      <c r="O1590" s="693"/>
      <c r="P1590" s="693"/>
      <c r="Q1590" s="693"/>
    </row>
    <row r="1591" spans="1:17" ht="13.5">
      <c r="A1591" s="693"/>
      <c r="B1591" s="693"/>
      <c r="C1591" s="693"/>
      <c r="D1591" s="693"/>
      <c r="E1591" s="693"/>
      <c r="F1591" s="693"/>
      <c r="G1591" s="693"/>
      <c r="H1591" s="693"/>
      <c r="I1591" s="693"/>
      <c r="J1591" s="693"/>
      <c r="K1591" s="693"/>
      <c r="L1591" s="693"/>
      <c r="M1591" s="693"/>
      <c r="N1591" s="693"/>
      <c r="O1591" s="693"/>
      <c r="P1591" s="693"/>
      <c r="Q1591" s="693"/>
    </row>
    <row r="1592" spans="1:17" ht="13.5">
      <c r="A1592" s="693"/>
      <c r="B1592" s="693"/>
      <c r="C1592" s="693"/>
      <c r="D1592" s="693"/>
      <c r="E1592" s="693"/>
      <c r="F1592" s="693"/>
      <c r="G1592" s="693"/>
      <c r="H1592" s="693"/>
      <c r="I1592" s="693"/>
      <c r="J1592" s="693"/>
      <c r="K1592" s="693"/>
      <c r="L1592" s="693"/>
      <c r="M1592" s="693"/>
      <c r="N1592" s="693"/>
      <c r="O1592" s="693"/>
      <c r="P1592" s="693"/>
      <c r="Q1592" s="693"/>
    </row>
    <row r="1593" spans="1:17" ht="13.5">
      <c r="A1593" s="693"/>
      <c r="B1593" s="693"/>
      <c r="C1593" s="693"/>
      <c r="D1593" s="693"/>
      <c r="E1593" s="693"/>
      <c r="F1593" s="693"/>
      <c r="G1593" s="693"/>
      <c r="H1593" s="693"/>
      <c r="I1593" s="693"/>
      <c r="J1593" s="693"/>
      <c r="K1593" s="693"/>
      <c r="L1593" s="693"/>
      <c r="M1593" s="693"/>
      <c r="N1593" s="693"/>
      <c r="O1593" s="693"/>
      <c r="P1593" s="693"/>
      <c r="Q1593" s="693"/>
    </row>
    <row r="1594" spans="1:17" ht="13.5">
      <c r="A1594" s="693"/>
      <c r="B1594" s="693"/>
      <c r="C1594" s="693"/>
      <c r="D1594" s="693"/>
      <c r="E1594" s="693"/>
      <c r="F1594" s="693"/>
      <c r="G1594" s="693"/>
      <c r="H1594" s="693"/>
      <c r="I1594" s="693"/>
      <c r="J1594" s="693"/>
      <c r="K1594" s="693"/>
      <c r="L1594" s="693"/>
      <c r="M1594" s="693"/>
      <c r="N1594" s="693"/>
      <c r="O1594" s="693"/>
      <c r="P1594" s="693"/>
      <c r="Q1594" s="693"/>
    </row>
    <row r="1595" spans="1:17" ht="13.5">
      <c r="A1595" s="693"/>
      <c r="B1595" s="693"/>
      <c r="C1595" s="693"/>
      <c r="D1595" s="693"/>
      <c r="E1595" s="693"/>
      <c r="F1595" s="693"/>
      <c r="G1595" s="693"/>
      <c r="H1595" s="693"/>
      <c r="I1595" s="693"/>
      <c r="J1595" s="693"/>
      <c r="K1595" s="693"/>
      <c r="L1595" s="693"/>
      <c r="M1595" s="693"/>
      <c r="N1595" s="693"/>
      <c r="O1595" s="693"/>
      <c r="P1595" s="693"/>
      <c r="Q1595" s="693"/>
    </row>
    <row r="1596" spans="1:17" ht="13.5">
      <c r="A1596" s="693"/>
      <c r="B1596" s="693"/>
      <c r="C1596" s="693"/>
      <c r="D1596" s="693"/>
      <c r="E1596" s="693"/>
      <c r="F1596" s="693"/>
      <c r="G1596" s="693"/>
      <c r="H1596" s="693"/>
      <c r="I1596" s="693"/>
      <c r="J1596" s="693"/>
      <c r="K1596" s="693"/>
      <c r="L1596" s="693"/>
      <c r="M1596" s="693"/>
      <c r="N1596" s="693"/>
      <c r="O1596" s="693"/>
      <c r="P1596" s="693"/>
      <c r="Q1596" s="693"/>
    </row>
    <row r="1597" spans="1:17" ht="13.5">
      <c r="A1597" s="693"/>
      <c r="B1597" s="693"/>
      <c r="C1597" s="693"/>
      <c r="D1597" s="693"/>
      <c r="E1597" s="693"/>
      <c r="F1597" s="693"/>
      <c r="G1597" s="693"/>
      <c r="H1597" s="693"/>
      <c r="I1597" s="693"/>
      <c r="J1597" s="693"/>
      <c r="K1597" s="693"/>
      <c r="L1597" s="693"/>
      <c r="M1597" s="693"/>
      <c r="N1597" s="693"/>
      <c r="O1597" s="693"/>
      <c r="P1597" s="693"/>
      <c r="Q1597" s="693"/>
    </row>
    <row r="1598" spans="1:17" ht="13.5">
      <c r="A1598" s="693"/>
      <c r="B1598" s="693"/>
      <c r="C1598" s="693"/>
      <c r="D1598" s="693"/>
      <c r="E1598" s="693"/>
      <c r="F1598" s="693"/>
      <c r="G1598" s="693"/>
      <c r="H1598" s="693"/>
      <c r="I1598" s="693"/>
      <c r="J1598" s="693"/>
      <c r="K1598" s="693"/>
      <c r="L1598" s="693"/>
      <c r="M1598" s="693"/>
      <c r="N1598" s="693"/>
      <c r="O1598" s="693"/>
      <c r="P1598" s="693"/>
      <c r="Q1598" s="693"/>
    </row>
    <row r="1599" spans="1:17" ht="13.5">
      <c r="A1599" s="693"/>
      <c r="B1599" s="693"/>
      <c r="C1599" s="693"/>
      <c r="D1599" s="693"/>
      <c r="E1599" s="693"/>
      <c r="F1599" s="693"/>
      <c r="G1599" s="693"/>
      <c r="H1599" s="693"/>
      <c r="I1599" s="693"/>
      <c r="J1599" s="693"/>
      <c r="K1599" s="693"/>
      <c r="L1599" s="693"/>
      <c r="M1599" s="693"/>
      <c r="N1599" s="693"/>
      <c r="O1599" s="693"/>
      <c r="P1599" s="693"/>
      <c r="Q1599" s="693"/>
    </row>
    <row r="1600" spans="1:17" ht="13.5">
      <c r="A1600" s="693"/>
      <c r="B1600" s="693"/>
      <c r="C1600" s="693"/>
      <c r="D1600" s="693"/>
      <c r="E1600" s="693"/>
      <c r="F1600" s="693"/>
      <c r="G1600" s="693"/>
      <c r="H1600" s="693"/>
      <c r="I1600" s="693"/>
      <c r="J1600" s="693"/>
      <c r="K1600" s="693"/>
      <c r="L1600" s="693"/>
      <c r="M1600" s="693"/>
      <c r="N1600" s="693"/>
      <c r="O1600" s="693"/>
      <c r="P1600" s="693"/>
      <c r="Q1600" s="693"/>
    </row>
    <row r="1601" spans="1:17" ht="13.5">
      <c r="A1601" s="693"/>
      <c r="B1601" s="693"/>
      <c r="C1601" s="693"/>
      <c r="D1601" s="693"/>
      <c r="E1601" s="693"/>
      <c r="F1601" s="693"/>
      <c r="G1601" s="693"/>
      <c r="H1601" s="693"/>
      <c r="I1601" s="693"/>
      <c r="J1601" s="693"/>
      <c r="K1601" s="693"/>
      <c r="L1601" s="693"/>
      <c r="M1601" s="693"/>
      <c r="N1601" s="693"/>
      <c r="O1601" s="693"/>
      <c r="P1601" s="693"/>
      <c r="Q1601" s="693"/>
    </row>
    <row r="1602" spans="1:17" ht="13.5">
      <c r="A1602" s="693"/>
      <c r="B1602" s="693"/>
      <c r="C1602" s="693"/>
      <c r="D1602" s="693"/>
      <c r="E1602" s="693"/>
      <c r="F1602" s="693"/>
      <c r="G1602" s="693"/>
      <c r="H1602" s="693"/>
      <c r="I1602" s="693"/>
      <c r="J1602" s="693"/>
      <c r="K1602" s="693"/>
      <c r="L1602" s="693"/>
      <c r="M1602" s="693"/>
      <c r="N1602" s="693"/>
      <c r="O1602" s="693"/>
      <c r="P1602" s="693"/>
      <c r="Q1602" s="693"/>
    </row>
    <row r="1603" spans="1:17" ht="13.5">
      <c r="A1603" s="693"/>
      <c r="B1603" s="693"/>
      <c r="C1603" s="693"/>
      <c r="D1603" s="693"/>
      <c r="E1603" s="693"/>
      <c r="F1603" s="693"/>
      <c r="G1603" s="693"/>
      <c r="H1603" s="693"/>
      <c r="I1603" s="693"/>
      <c r="J1603" s="693"/>
      <c r="K1603" s="693"/>
      <c r="L1603" s="693"/>
      <c r="M1603" s="693"/>
      <c r="N1603" s="693"/>
      <c r="O1603" s="693"/>
      <c r="P1603" s="693"/>
      <c r="Q1603" s="693"/>
    </row>
    <row r="1604" spans="1:17" ht="13.5">
      <c r="A1604" s="693"/>
      <c r="B1604" s="693"/>
      <c r="C1604" s="693"/>
      <c r="D1604" s="693"/>
      <c r="E1604" s="693"/>
      <c r="F1604" s="693"/>
      <c r="G1604" s="693"/>
      <c r="H1604" s="693"/>
      <c r="I1604" s="693"/>
      <c r="J1604" s="693"/>
      <c r="K1604" s="693"/>
      <c r="L1604" s="693"/>
      <c r="M1604" s="693"/>
      <c r="N1604" s="693"/>
      <c r="O1604" s="693"/>
      <c r="P1604" s="693"/>
      <c r="Q1604" s="693"/>
    </row>
    <row r="1605" spans="1:17" ht="13.5">
      <c r="A1605" s="693"/>
      <c r="B1605" s="693"/>
      <c r="C1605" s="693"/>
      <c r="D1605" s="693"/>
      <c r="E1605" s="693"/>
      <c r="F1605" s="693"/>
      <c r="G1605" s="693"/>
      <c r="H1605" s="693"/>
      <c r="I1605" s="693"/>
      <c r="J1605" s="693"/>
      <c r="K1605" s="693"/>
      <c r="L1605" s="693"/>
      <c r="M1605" s="693"/>
      <c r="N1605" s="693"/>
      <c r="O1605" s="693"/>
      <c r="P1605" s="693"/>
      <c r="Q1605" s="693"/>
    </row>
    <row r="1606" spans="1:17" ht="13.5">
      <c r="A1606" s="693"/>
      <c r="B1606" s="693"/>
      <c r="C1606" s="693"/>
      <c r="D1606" s="693"/>
      <c r="E1606" s="693"/>
      <c r="F1606" s="693"/>
      <c r="G1606" s="693"/>
      <c r="H1606" s="693"/>
      <c r="I1606" s="693"/>
      <c r="J1606" s="693"/>
      <c r="K1606" s="693"/>
      <c r="L1606" s="693"/>
      <c r="M1606" s="693"/>
      <c r="N1606" s="693"/>
      <c r="O1606" s="693"/>
      <c r="P1606" s="693"/>
      <c r="Q1606" s="693"/>
    </row>
    <row r="1607" spans="1:17" ht="13.5">
      <c r="A1607" s="693"/>
      <c r="B1607" s="693"/>
      <c r="C1607" s="693"/>
      <c r="D1607" s="693"/>
      <c r="E1607" s="693"/>
      <c r="F1607" s="693"/>
      <c r="G1607" s="693"/>
      <c r="H1607" s="693"/>
      <c r="I1607" s="693"/>
      <c r="J1607" s="693"/>
      <c r="K1607" s="693"/>
      <c r="L1607" s="693"/>
      <c r="M1607" s="693"/>
      <c r="N1607" s="693"/>
      <c r="O1607" s="693"/>
      <c r="P1607" s="693"/>
      <c r="Q1607" s="693"/>
    </row>
    <row r="1608" spans="1:17" ht="13.5">
      <c r="A1608" s="693"/>
      <c r="B1608" s="693"/>
      <c r="C1608" s="693"/>
      <c r="D1608" s="693"/>
      <c r="E1608" s="693"/>
      <c r="F1608" s="693"/>
      <c r="G1608" s="693"/>
      <c r="H1608" s="693"/>
      <c r="I1608" s="693"/>
      <c r="J1608" s="693"/>
      <c r="K1608" s="693"/>
      <c r="L1608" s="693"/>
      <c r="M1608" s="693"/>
      <c r="N1608" s="693"/>
      <c r="O1608" s="693"/>
      <c r="P1608" s="693"/>
      <c r="Q1608" s="693"/>
    </row>
    <row r="1609" spans="1:17" ht="13.5">
      <c r="A1609" s="693"/>
      <c r="B1609" s="693"/>
      <c r="C1609" s="693"/>
      <c r="D1609" s="693"/>
      <c r="E1609" s="693"/>
      <c r="F1609" s="693"/>
      <c r="G1609" s="693"/>
      <c r="H1609" s="693"/>
      <c r="I1609" s="693"/>
      <c r="J1609" s="693"/>
      <c r="K1609" s="693"/>
      <c r="L1609" s="693"/>
      <c r="M1609" s="693"/>
      <c r="N1609" s="693"/>
      <c r="O1609" s="693"/>
      <c r="P1609" s="693"/>
      <c r="Q1609" s="693"/>
    </row>
    <row r="1610" spans="1:17" ht="13.5">
      <c r="A1610" s="693"/>
      <c r="B1610" s="693"/>
      <c r="C1610" s="693"/>
      <c r="D1610" s="693"/>
      <c r="E1610" s="693"/>
      <c r="F1610" s="693"/>
      <c r="G1610" s="693"/>
      <c r="H1610" s="693"/>
      <c r="I1610" s="693"/>
      <c r="J1610" s="693"/>
      <c r="K1610" s="693"/>
      <c r="L1610" s="693"/>
      <c r="M1610" s="693"/>
      <c r="N1610" s="693"/>
      <c r="O1610" s="693"/>
      <c r="P1610" s="693"/>
      <c r="Q1610" s="693"/>
    </row>
    <row r="1611" spans="1:17" ht="13.5">
      <c r="A1611" s="693"/>
      <c r="B1611" s="693"/>
      <c r="C1611" s="693"/>
      <c r="D1611" s="693"/>
      <c r="E1611" s="693"/>
      <c r="F1611" s="693"/>
      <c r="G1611" s="693"/>
      <c r="H1611" s="693"/>
      <c r="I1611" s="693"/>
      <c r="J1611" s="693"/>
      <c r="K1611" s="693"/>
      <c r="L1611" s="693"/>
      <c r="M1611" s="693"/>
      <c r="N1611" s="693"/>
      <c r="O1611" s="693"/>
      <c r="P1611" s="693"/>
      <c r="Q1611" s="693"/>
    </row>
    <row r="1612" spans="1:17" ht="13.5">
      <c r="A1612" s="693"/>
      <c r="B1612" s="693"/>
      <c r="C1612" s="693"/>
      <c r="D1612" s="693"/>
      <c r="E1612" s="693"/>
      <c r="F1612" s="693"/>
      <c r="G1612" s="693"/>
      <c r="H1612" s="693"/>
      <c r="I1612" s="693"/>
      <c r="J1612" s="693"/>
      <c r="K1612" s="693"/>
      <c r="L1612" s="693"/>
      <c r="M1612" s="693"/>
      <c r="N1612" s="693"/>
      <c r="O1612" s="693"/>
      <c r="P1612" s="693"/>
      <c r="Q1612" s="693"/>
    </row>
    <row r="1613" spans="1:17" ht="13.5">
      <c r="A1613" s="693"/>
      <c r="B1613" s="693"/>
      <c r="C1613" s="693"/>
      <c r="D1613" s="693"/>
      <c r="E1613" s="693"/>
      <c r="F1613" s="693"/>
      <c r="G1613" s="693"/>
      <c r="H1613" s="693"/>
      <c r="I1613" s="693"/>
      <c r="J1613" s="693"/>
      <c r="K1613" s="693"/>
      <c r="L1613" s="693"/>
      <c r="M1613" s="693"/>
      <c r="N1613" s="693"/>
      <c r="O1613" s="693"/>
      <c r="P1613" s="693"/>
      <c r="Q1613" s="693"/>
    </row>
    <row r="1614" spans="1:17" ht="13.5">
      <c r="A1614" s="693"/>
      <c r="B1614" s="693"/>
      <c r="C1614" s="693"/>
      <c r="D1614" s="693"/>
      <c r="E1614" s="693"/>
      <c r="F1614" s="693"/>
      <c r="G1614" s="693"/>
      <c r="H1614" s="693"/>
      <c r="I1614" s="693"/>
      <c r="J1614" s="693"/>
      <c r="K1614" s="693"/>
      <c r="L1614" s="693"/>
      <c r="M1614" s="693"/>
      <c r="N1614" s="693"/>
      <c r="O1614" s="693"/>
      <c r="P1614" s="693"/>
      <c r="Q1614" s="693"/>
    </row>
    <row r="1615" spans="1:17" ht="13.5">
      <c r="A1615" s="693"/>
      <c r="B1615" s="693"/>
      <c r="C1615" s="693"/>
      <c r="D1615" s="693"/>
      <c r="E1615" s="693"/>
      <c r="F1615" s="693"/>
      <c r="G1615" s="693"/>
      <c r="H1615" s="693"/>
      <c r="I1615" s="693"/>
      <c r="J1615" s="693"/>
      <c r="K1615" s="693"/>
      <c r="L1615" s="693"/>
      <c r="M1615" s="693"/>
      <c r="N1615" s="693"/>
      <c r="O1615" s="693"/>
      <c r="P1615" s="693"/>
      <c r="Q1615" s="693"/>
    </row>
    <row r="1616" spans="1:17" ht="13.5">
      <c r="A1616" s="693"/>
      <c r="B1616" s="693"/>
      <c r="C1616" s="693"/>
      <c r="D1616" s="693"/>
      <c r="E1616" s="693"/>
      <c r="F1616" s="693"/>
      <c r="G1616" s="693"/>
      <c r="H1616" s="693"/>
      <c r="I1616" s="693"/>
      <c r="J1616" s="693"/>
      <c r="K1616" s="693"/>
      <c r="L1616" s="693"/>
      <c r="M1616" s="693"/>
      <c r="N1616" s="693"/>
      <c r="O1616" s="693"/>
      <c r="P1616" s="693"/>
      <c r="Q1616" s="693"/>
    </row>
    <row r="1617" spans="1:17" ht="13.5">
      <c r="A1617" s="693"/>
      <c r="B1617" s="693"/>
      <c r="C1617" s="693"/>
      <c r="D1617" s="693"/>
      <c r="E1617" s="693"/>
      <c r="F1617" s="693"/>
      <c r="G1617" s="693"/>
      <c r="H1617" s="693"/>
      <c r="I1617" s="693"/>
      <c r="J1617" s="693"/>
      <c r="K1617" s="693"/>
      <c r="L1617" s="693"/>
      <c r="M1617" s="693"/>
      <c r="N1617" s="693"/>
      <c r="O1617" s="693"/>
      <c r="P1617" s="693"/>
      <c r="Q1617" s="693"/>
    </row>
    <row r="1618" spans="1:17" ht="13.5">
      <c r="A1618" s="693"/>
      <c r="B1618" s="693"/>
      <c r="C1618" s="693"/>
      <c r="D1618" s="693"/>
      <c r="E1618" s="693"/>
      <c r="F1618" s="693"/>
      <c r="G1618" s="693"/>
      <c r="H1618" s="693"/>
      <c r="I1618" s="693"/>
      <c r="J1618" s="693"/>
      <c r="K1618" s="693"/>
      <c r="L1618" s="693"/>
      <c r="M1618" s="693"/>
      <c r="N1618" s="693"/>
      <c r="O1618" s="693"/>
      <c r="P1618" s="693"/>
      <c r="Q1618" s="693"/>
    </row>
    <row r="1619" spans="1:17" ht="13.5">
      <c r="A1619" s="693"/>
      <c r="B1619" s="693"/>
      <c r="C1619" s="693"/>
      <c r="D1619" s="693"/>
      <c r="E1619" s="693"/>
      <c r="F1619" s="693"/>
      <c r="G1619" s="693"/>
      <c r="H1619" s="693"/>
      <c r="I1619" s="693"/>
      <c r="J1619" s="693"/>
      <c r="K1619" s="693"/>
      <c r="L1619" s="693"/>
      <c r="M1619" s="693"/>
      <c r="N1619" s="693"/>
      <c r="O1619" s="693"/>
      <c r="P1619" s="693"/>
      <c r="Q1619" s="693"/>
    </row>
    <row r="1620" spans="1:17" ht="13.5">
      <c r="A1620" s="693"/>
      <c r="B1620" s="693"/>
      <c r="C1620" s="693"/>
      <c r="D1620" s="693"/>
      <c r="E1620" s="693"/>
      <c r="F1620" s="693"/>
      <c r="G1620" s="693"/>
      <c r="H1620" s="693"/>
      <c r="I1620" s="693"/>
      <c r="J1620" s="693"/>
      <c r="K1620" s="693"/>
      <c r="L1620" s="693"/>
      <c r="M1620" s="693"/>
      <c r="N1620" s="693"/>
      <c r="O1620" s="693"/>
      <c r="P1620" s="693"/>
      <c r="Q1620" s="693"/>
    </row>
    <row r="1621" spans="1:17" ht="13.5">
      <c r="A1621" s="693"/>
      <c r="B1621" s="693"/>
      <c r="C1621" s="693"/>
      <c r="D1621" s="693"/>
      <c r="E1621" s="693"/>
      <c r="F1621" s="693"/>
      <c r="G1621" s="693"/>
      <c r="H1621" s="693"/>
      <c r="I1621" s="693"/>
      <c r="J1621" s="693"/>
      <c r="K1621" s="693"/>
      <c r="L1621" s="693"/>
      <c r="M1621" s="693"/>
      <c r="N1621" s="693"/>
      <c r="O1621" s="693"/>
      <c r="P1621" s="693"/>
      <c r="Q1621" s="693"/>
    </row>
    <row r="1622" spans="1:17" ht="13.5">
      <c r="A1622" s="693"/>
      <c r="B1622" s="693"/>
      <c r="C1622" s="693"/>
      <c r="D1622" s="693"/>
      <c r="E1622" s="693"/>
      <c r="F1622" s="693"/>
      <c r="G1622" s="693"/>
      <c r="H1622" s="693"/>
      <c r="I1622" s="693"/>
      <c r="J1622" s="693"/>
      <c r="K1622" s="693"/>
      <c r="L1622" s="693"/>
      <c r="M1622" s="693"/>
      <c r="N1622" s="693"/>
      <c r="O1622" s="693"/>
      <c r="P1622" s="693"/>
      <c r="Q1622" s="693"/>
    </row>
    <row r="1623" spans="1:17" ht="13.5">
      <c r="A1623" s="693"/>
      <c r="B1623" s="693"/>
      <c r="C1623" s="693"/>
      <c r="D1623" s="693"/>
      <c r="E1623" s="693"/>
      <c r="F1623" s="693"/>
      <c r="G1623" s="693"/>
      <c r="H1623" s="693"/>
      <c r="I1623" s="693"/>
      <c r="J1623" s="693"/>
      <c r="K1623" s="693"/>
      <c r="L1623" s="693"/>
      <c r="M1623" s="693"/>
      <c r="N1623" s="693"/>
      <c r="O1623" s="693"/>
      <c r="P1623" s="693"/>
      <c r="Q1623" s="693"/>
    </row>
    <row r="1624" spans="1:17" ht="13.5">
      <c r="A1624" s="693"/>
      <c r="B1624" s="693"/>
      <c r="C1624" s="693"/>
      <c r="D1624" s="693"/>
      <c r="E1624" s="693"/>
      <c r="F1624" s="693"/>
      <c r="G1624" s="693"/>
      <c r="H1624" s="693"/>
      <c r="I1624" s="693"/>
      <c r="J1624" s="693"/>
      <c r="K1624" s="693"/>
      <c r="L1624" s="693"/>
      <c r="M1624" s="693"/>
      <c r="N1624" s="693"/>
      <c r="O1624" s="693"/>
      <c r="P1624" s="693"/>
      <c r="Q1624" s="693"/>
    </row>
    <row r="1625" spans="1:17" ht="13.5">
      <c r="A1625" s="693"/>
      <c r="B1625" s="693"/>
      <c r="C1625" s="693"/>
      <c r="D1625" s="693"/>
      <c r="E1625" s="693"/>
      <c r="F1625" s="693"/>
      <c r="G1625" s="693"/>
      <c r="H1625" s="693"/>
      <c r="I1625" s="693"/>
      <c r="J1625" s="693"/>
      <c r="K1625" s="693"/>
      <c r="L1625" s="693"/>
      <c r="M1625" s="693"/>
      <c r="N1625" s="693"/>
      <c r="O1625" s="693"/>
      <c r="P1625" s="693"/>
      <c r="Q1625" s="693"/>
    </row>
    <row r="1626" spans="1:17" ht="13.5">
      <c r="A1626" s="693"/>
      <c r="B1626" s="693"/>
      <c r="C1626" s="693"/>
      <c r="D1626" s="693"/>
      <c r="E1626" s="693"/>
      <c r="F1626" s="693"/>
      <c r="G1626" s="693"/>
      <c r="H1626" s="693"/>
      <c r="I1626" s="693"/>
      <c r="J1626" s="693"/>
      <c r="K1626" s="693"/>
      <c r="L1626" s="693"/>
      <c r="M1626" s="693"/>
      <c r="N1626" s="693"/>
      <c r="O1626" s="693"/>
      <c r="P1626" s="693"/>
      <c r="Q1626" s="693"/>
    </row>
    <row r="1627" spans="1:17" ht="13.5">
      <c r="A1627" s="693"/>
      <c r="B1627" s="693"/>
      <c r="C1627" s="693"/>
      <c r="D1627" s="693"/>
      <c r="E1627" s="693"/>
      <c r="F1627" s="693"/>
      <c r="G1627" s="693"/>
      <c r="H1627" s="693"/>
      <c r="I1627" s="693"/>
      <c r="J1627" s="693"/>
      <c r="K1627" s="693"/>
      <c r="L1627" s="693"/>
      <c r="M1627" s="693"/>
      <c r="N1627" s="693"/>
      <c r="O1627" s="693"/>
      <c r="P1627" s="693"/>
      <c r="Q1627" s="693"/>
    </row>
    <row r="1628" spans="1:17" ht="13.5">
      <c r="A1628" s="693"/>
      <c r="B1628" s="693"/>
      <c r="C1628" s="693"/>
      <c r="D1628" s="693"/>
      <c r="E1628" s="693"/>
      <c r="F1628" s="693"/>
      <c r="G1628" s="693"/>
      <c r="H1628" s="693"/>
      <c r="I1628" s="693"/>
      <c r="J1628" s="693"/>
      <c r="K1628" s="693"/>
      <c r="L1628" s="693"/>
      <c r="M1628" s="693"/>
      <c r="N1628" s="693"/>
      <c r="O1628" s="693"/>
      <c r="P1628" s="693"/>
      <c r="Q1628" s="693"/>
    </row>
    <row r="1629" spans="1:17" ht="13.5">
      <c r="A1629" s="693"/>
      <c r="B1629" s="693"/>
      <c r="C1629" s="693"/>
      <c r="D1629" s="693"/>
      <c r="E1629" s="693"/>
      <c r="F1629" s="693"/>
      <c r="G1629" s="693"/>
      <c r="H1629" s="693"/>
      <c r="I1629" s="693"/>
      <c r="J1629" s="693"/>
      <c r="K1629" s="693"/>
      <c r="L1629" s="693"/>
      <c r="M1629" s="693"/>
      <c r="N1629" s="693"/>
      <c r="O1629" s="693"/>
      <c r="P1629" s="693"/>
      <c r="Q1629" s="693"/>
    </row>
    <row r="1630" spans="1:17" ht="13.5">
      <c r="A1630" s="693"/>
      <c r="B1630" s="693"/>
      <c r="C1630" s="693"/>
      <c r="D1630" s="693"/>
      <c r="E1630" s="693"/>
      <c r="F1630" s="693"/>
      <c r="G1630" s="693"/>
      <c r="H1630" s="693"/>
      <c r="I1630" s="693"/>
      <c r="J1630" s="693"/>
      <c r="K1630" s="693"/>
      <c r="L1630" s="693"/>
      <c r="M1630" s="693"/>
      <c r="N1630" s="693"/>
      <c r="O1630" s="693"/>
      <c r="P1630" s="693"/>
      <c r="Q1630" s="693"/>
    </row>
    <row r="1631" spans="1:17" ht="13.5">
      <c r="A1631" s="693"/>
      <c r="B1631" s="693"/>
      <c r="C1631" s="693"/>
      <c r="D1631" s="693"/>
      <c r="E1631" s="693"/>
      <c r="F1631" s="693"/>
      <c r="G1631" s="693"/>
      <c r="H1631" s="693"/>
      <c r="I1631" s="693"/>
      <c r="J1631" s="693"/>
      <c r="K1631" s="693"/>
      <c r="L1631" s="693"/>
      <c r="M1631" s="693"/>
      <c r="N1631" s="693"/>
      <c r="O1631" s="693"/>
      <c r="P1631" s="693"/>
      <c r="Q1631" s="693"/>
    </row>
    <row r="1632" spans="1:17" ht="13.5">
      <c r="A1632" s="693"/>
      <c r="B1632" s="693"/>
      <c r="C1632" s="693"/>
      <c r="D1632" s="693"/>
      <c r="E1632" s="693"/>
      <c r="F1632" s="693"/>
      <c r="G1632" s="693"/>
      <c r="H1632" s="693"/>
      <c r="I1632" s="693"/>
      <c r="J1632" s="693"/>
      <c r="K1632" s="693"/>
      <c r="L1632" s="693"/>
      <c r="M1632" s="693"/>
      <c r="N1632" s="693"/>
      <c r="O1632" s="693"/>
      <c r="P1632" s="693"/>
      <c r="Q1632" s="693"/>
    </row>
    <row r="1633" spans="1:17" ht="13.5">
      <c r="A1633" s="693"/>
      <c r="B1633" s="693"/>
      <c r="C1633" s="693"/>
      <c r="D1633" s="693"/>
      <c r="E1633" s="693"/>
      <c r="F1633" s="693"/>
      <c r="G1633" s="693"/>
      <c r="H1633" s="693"/>
      <c r="I1633" s="693"/>
      <c r="J1633" s="693"/>
      <c r="K1633" s="693"/>
      <c r="L1633" s="693"/>
      <c r="M1633" s="693"/>
      <c r="N1633" s="693"/>
      <c r="O1633" s="693"/>
      <c r="P1633" s="693"/>
      <c r="Q1633" s="693"/>
    </row>
    <row r="1634" spans="1:17" ht="13.5">
      <c r="A1634" s="693"/>
      <c r="B1634" s="693"/>
      <c r="C1634" s="693"/>
      <c r="D1634" s="693"/>
      <c r="E1634" s="693"/>
      <c r="F1634" s="693"/>
      <c r="G1634" s="693"/>
      <c r="H1634" s="693"/>
      <c r="I1634" s="693"/>
      <c r="J1634" s="693"/>
      <c r="K1634" s="693"/>
      <c r="L1634" s="693"/>
      <c r="M1634" s="693"/>
      <c r="N1634" s="693"/>
      <c r="O1634" s="693"/>
      <c r="P1634" s="693"/>
      <c r="Q1634" s="693"/>
    </row>
    <row r="1635" spans="1:17" ht="13.5">
      <c r="A1635" s="693"/>
      <c r="B1635" s="693"/>
      <c r="C1635" s="693"/>
      <c r="D1635" s="693"/>
      <c r="E1635" s="693"/>
      <c r="F1635" s="693"/>
      <c r="G1635" s="693"/>
      <c r="H1635" s="693"/>
      <c r="I1635" s="693"/>
      <c r="J1635" s="693"/>
      <c r="K1635" s="693"/>
      <c r="L1635" s="693"/>
      <c r="M1635" s="693"/>
      <c r="N1635" s="693"/>
      <c r="O1635" s="693"/>
      <c r="P1635" s="693"/>
      <c r="Q1635" s="693"/>
    </row>
    <row r="1636" spans="1:17" ht="13.5">
      <c r="A1636" s="693"/>
      <c r="B1636" s="693"/>
      <c r="C1636" s="693"/>
      <c r="D1636" s="693"/>
      <c r="E1636" s="693"/>
      <c r="F1636" s="693"/>
      <c r="G1636" s="693"/>
      <c r="H1636" s="693"/>
      <c r="I1636" s="693"/>
      <c r="J1636" s="693"/>
      <c r="K1636" s="693"/>
      <c r="L1636" s="693"/>
      <c r="M1636" s="693"/>
      <c r="N1636" s="693"/>
      <c r="O1636" s="693"/>
      <c r="P1636" s="693"/>
      <c r="Q1636" s="693"/>
    </row>
    <row r="1637" spans="1:17" ht="13.5">
      <c r="A1637" s="693"/>
      <c r="B1637" s="693"/>
      <c r="C1637" s="693"/>
      <c r="D1637" s="693"/>
      <c r="E1637" s="693"/>
      <c r="F1637" s="693"/>
      <c r="G1637" s="693"/>
      <c r="H1637" s="693"/>
      <c r="I1637" s="693"/>
      <c r="J1637" s="693"/>
      <c r="K1637" s="693"/>
      <c r="L1637" s="693"/>
      <c r="M1637" s="693"/>
      <c r="N1637" s="693"/>
      <c r="O1637" s="693"/>
      <c r="P1637" s="693"/>
      <c r="Q1637" s="693"/>
    </row>
    <row r="1638" spans="1:17" ht="13.5">
      <c r="A1638" s="693"/>
      <c r="B1638" s="693"/>
      <c r="C1638" s="693"/>
      <c r="D1638" s="693"/>
      <c r="E1638" s="693"/>
      <c r="F1638" s="693"/>
      <c r="G1638" s="693"/>
      <c r="H1638" s="693"/>
      <c r="I1638" s="693"/>
      <c r="J1638" s="693"/>
      <c r="K1638" s="693"/>
      <c r="L1638" s="693"/>
      <c r="M1638" s="693"/>
      <c r="N1638" s="693"/>
      <c r="O1638" s="693"/>
      <c r="P1638" s="693"/>
      <c r="Q1638" s="693"/>
    </row>
    <row r="1639" spans="1:17" ht="13.5">
      <c r="A1639" s="693"/>
      <c r="B1639" s="693"/>
      <c r="C1639" s="693"/>
      <c r="D1639" s="693"/>
      <c r="E1639" s="693"/>
      <c r="F1639" s="693"/>
      <c r="G1639" s="693"/>
      <c r="H1639" s="693"/>
      <c r="I1639" s="693"/>
      <c r="J1639" s="693"/>
      <c r="K1639" s="693"/>
      <c r="L1639" s="693"/>
      <c r="M1639" s="693"/>
      <c r="N1639" s="693"/>
      <c r="O1639" s="693"/>
      <c r="P1639" s="693"/>
      <c r="Q1639" s="693"/>
    </row>
    <row r="1640" spans="1:17" ht="13.5">
      <c r="A1640" s="693"/>
      <c r="B1640" s="693"/>
      <c r="C1640" s="693"/>
      <c r="D1640" s="693"/>
      <c r="E1640" s="693"/>
      <c r="F1640" s="693"/>
      <c r="G1640" s="693"/>
      <c r="H1640" s="693"/>
      <c r="I1640" s="693"/>
      <c r="J1640" s="693"/>
      <c r="K1640" s="693"/>
      <c r="L1640" s="693"/>
      <c r="M1640" s="693"/>
      <c r="N1640" s="693"/>
      <c r="O1640" s="693"/>
      <c r="P1640" s="693"/>
      <c r="Q1640" s="693"/>
    </row>
    <row r="1641" spans="1:17" ht="13.5">
      <c r="A1641" s="693"/>
      <c r="B1641" s="693"/>
      <c r="C1641" s="693"/>
      <c r="D1641" s="693"/>
      <c r="E1641" s="693"/>
      <c r="F1641" s="693"/>
      <c r="G1641" s="693"/>
      <c r="H1641" s="693"/>
      <c r="I1641" s="693"/>
      <c r="J1641" s="693"/>
      <c r="K1641" s="693"/>
      <c r="L1641" s="693"/>
      <c r="M1641" s="693"/>
      <c r="N1641" s="693"/>
      <c r="O1641" s="693"/>
      <c r="P1641" s="693"/>
      <c r="Q1641" s="693"/>
    </row>
    <row r="1642" spans="1:17" ht="13.5">
      <c r="A1642" s="693"/>
      <c r="B1642" s="693"/>
      <c r="C1642" s="693"/>
      <c r="D1642" s="693"/>
      <c r="E1642" s="693"/>
      <c r="F1642" s="693"/>
      <c r="G1642" s="693"/>
      <c r="H1642" s="693"/>
      <c r="I1642" s="693"/>
      <c r="J1642" s="693"/>
      <c r="K1642" s="693"/>
      <c r="L1642" s="693"/>
      <c r="M1642" s="693"/>
      <c r="N1642" s="693"/>
      <c r="O1642" s="693"/>
      <c r="P1642" s="693"/>
      <c r="Q1642" s="693"/>
    </row>
    <row r="1643" spans="1:17" ht="13.5">
      <c r="A1643" s="693"/>
      <c r="B1643" s="693"/>
      <c r="C1643" s="693"/>
      <c r="D1643" s="693"/>
      <c r="E1643" s="693"/>
      <c r="F1643" s="693"/>
      <c r="G1643" s="693"/>
      <c r="H1643" s="693"/>
      <c r="I1643" s="693"/>
      <c r="J1643" s="693"/>
      <c r="K1643" s="693"/>
      <c r="L1643" s="693"/>
      <c r="M1643" s="693"/>
      <c r="N1643" s="693"/>
      <c r="O1643" s="693"/>
      <c r="P1643" s="693"/>
      <c r="Q1643" s="693"/>
    </row>
    <row r="1644" spans="1:17" ht="13.5">
      <c r="A1644" s="693"/>
      <c r="B1644" s="693"/>
      <c r="C1644" s="693"/>
      <c r="D1644" s="693"/>
      <c r="E1644" s="693"/>
      <c r="F1644" s="693"/>
      <c r="G1644" s="693"/>
      <c r="H1644" s="693"/>
      <c r="I1644" s="693"/>
      <c r="J1644" s="693"/>
      <c r="K1644" s="693"/>
      <c r="L1644" s="693"/>
      <c r="M1644" s="693"/>
      <c r="N1644" s="693"/>
      <c r="O1644" s="693"/>
      <c r="P1644" s="693"/>
      <c r="Q1644" s="693"/>
    </row>
    <row r="1645" spans="1:17" ht="13.5">
      <c r="A1645" s="693"/>
      <c r="B1645" s="693"/>
      <c r="C1645" s="693"/>
      <c r="D1645" s="693"/>
      <c r="E1645" s="693"/>
      <c r="F1645" s="693"/>
      <c r="G1645" s="693"/>
      <c r="H1645" s="693"/>
      <c r="I1645" s="693"/>
      <c r="J1645" s="693"/>
      <c r="K1645" s="693"/>
      <c r="L1645" s="693"/>
      <c r="M1645" s="693"/>
      <c r="N1645" s="693"/>
      <c r="O1645" s="693"/>
      <c r="P1645" s="693"/>
      <c r="Q1645" s="693"/>
    </row>
    <row r="1646" spans="1:17" ht="13.5">
      <c r="A1646" s="693"/>
      <c r="B1646" s="693"/>
      <c r="C1646" s="693"/>
      <c r="D1646" s="693"/>
      <c r="E1646" s="693"/>
      <c r="F1646" s="693"/>
      <c r="G1646" s="693"/>
      <c r="H1646" s="693"/>
      <c r="I1646" s="693"/>
      <c r="J1646" s="693"/>
      <c r="K1646" s="693"/>
      <c r="L1646" s="693"/>
      <c r="M1646" s="693"/>
      <c r="N1646" s="693"/>
      <c r="O1646" s="693"/>
      <c r="P1646" s="693"/>
      <c r="Q1646" s="693"/>
    </row>
    <row r="1647" spans="1:17" ht="13.5">
      <c r="A1647" s="693"/>
      <c r="B1647" s="693"/>
      <c r="C1647" s="693"/>
      <c r="D1647" s="693"/>
      <c r="E1647" s="693"/>
      <c r="F1647" s="693"/>
      <c r="G1647" s="693"/>
      <c r="H1647" s="693"/>
      <c r="I1647" s="693"/>
      <c r="J1647" s="693"/>
      <c r="K1647" s="693"/>
      <c r="L1647" s="693"/>
      <c r="M1647" s="693"/>
      <c r="N1647" s="693"/>
      <c r="O1647" s="693"/>
      <c r="P1647" s="693"/>
      <c r="Q1647" s="693"/>
    </row>
    <row r="1648" spans="1:17" ht="13.5">
      <c r="A1648" s="693"/>
      <c r="B1648" s="693"/>
      <c r="C1648" s="693"/>
      <c r="D1648" s="693"/>
      <c r="E1648" s="693"/>
      <c r="F1648" s="693"/>
      <c r="G1648" s="693"/>
      <c r="H1648" s="693"/>
      <c r="I1648" s="693"/>
      <c r="J1648" s="693"/>
      <c r="K1648" s="693"/>
      <c r="L1648" s="693"/>
      <c r="M1648" s="693"/>
      <c r="N1648" s="693"/>
      <c r="O1648" s="693"/>
      <c r="P1648" s="693"/>
      <c r="Q1648" s="693"/>
    </row>
    <row r="1649" spans="1:17" ht="13.5">
      <c r="A1649" s="693"/>
      <c r="B1649" s="693"/>
      <c r="C1649" s="693"/>
      <c r="D1649" s="693"/>
      <c r="E1649" s="693"/>
      <c r="F1649" s="693"/>
      <c r="G1649" s="693"/>
      <c r="H1649" s="693"/>
      <c r="I1649" s="693"/>
      <c r="J1649" s="693"/>
      <c r="K1649" s="693"/>
      <c r="L1649" s="693"/>
      <c r="M1649" s="693"/>
      <c r="N1649" s="693"/>
      <c r="O1649" s="693"/>
      <c r="P1649" s="693"/>
      <c r="Q1649" s="693"/>
    </row>
    <row r="1650" spans="1:17" ht="13.5">
      <c r="A1650" s="693"/>
      <c r="B1650" s="693"/>
      <c r="C1650" s="693"/>
      <c r="D1650" s="693"/>
      <c r="E1650" s="693"/>
      <c r="F1650" s="693"/>
      <c r="G1650" s="693"/>
      <c r="H1650" s="693"/>
      <c r="I1650" s="693"/>
      <c r="J1650" s="693"/>
      <c r="K1650" s="693"/>
      <c r="L1650" s="693"/>
      <c r="M1650" s="693"/>
      <c r="N1650" s="693"/>
      <c r="O1650" s="693"/>
      <c r="P1650" s="693"/>
      <c r="Q1650" s="693"/>
    </row>
    <row r="1651" spans="1:17" ht="13.5">
      <c r="A1651" s="693"/>
      <c r="B1651" s="693"/>
      <c r="C1651" s="693"/>
      <c r="D1651" s="693"/>
      <c r="E1651" s="693"/>
      <c r="F1651" s="693"/>
      <c r="G1651" s="693"/>
      <c r="H1651" s="693"/>
      <c r="I1651" s="693"/>
      <c r="J1651" s="693"/>
      <c r="K1651" s="693"/>
      <c r="L1651" s="693"/>
      <c r="M1651" s="693"/>
      <c r="N1651" s="693"/>
      <c r="O1651" s="693"/>
      <c r="P1651" s="693"/>
      <c r="Q1651" s="693"/>
    </row>
    <row r="1652" spans="1:17" ht="13.5">
      <c r="A1652" s="693"/>
      <c r="B1652" s="693"/>
      <c r="C1652" s="693"/>
      <c r="D1652" s="693"/>
      <c r="E1652" s="693"/>
      <c r="F1652" s="693"/>
      <c r="G1652" s="693"/>
      <c r="H1652" s="693"/>
      <c r="I1652" s="693"/>
      <c r="J1652" s="693"/>
      <c r="K1652" s="693"/>
      <c r="L1652" s="693"/>
      <c r="M1652" s="693"/>
      <c r="N1652" s="693"/>
      <c r="O1652" s="693"/>
      <c r="P1652" s="693"/>
      <c r="Q1652" s="693"/>
    </row>
    <row r="1653" spans="1:17" ht="13.5">
      <c r="A1653" s="693"/>
      <c r="B1653" s="693"/>
      <c r="C1653" s="693"/>
      <c r="D1653" s="693"/>
      <c r="E1653" s="693"/>
      <c r="F1653" s="693"/>
      <c r="G1653" s="693"/>
      <c r="H1653" s="693"/>
      <c r="I1653" s="693"/>
      <c r="J1653" s="693"/>
      <c r="K1653" s="693"/>
      <c r="L1653" s="693"/>
      <c r="M1653" s="693"/>
      <c r="N1653" s="693"/>
      <c r="O1653" s="693"/>
      <c r="P1653" s="693"/>
      <c r="Q1653" s="693"/>
    </row>
    <row r="1654" spans="1:17" ht="13.5">
      <c r="A1654" s="693"/>
      <c r="B1654" s="693"/>
      <c r="C1654" s="693"/>
      <c r="D1654" s="693"/>
      <c r="E1654" s="693"/>
      <c r="F1654" s="693"/>
      <c r="G1654" s="693"/>
      <c r="H1654" s="693"/>
      <c r="I1654" s="693"/>
      <c r="J1654" s="693"/>
      <c r="K1654" s="693"/>
      <c r="L1654" s="693"/>
      <c r="M1654" s="693"/>
      <c r="N1654" s="693"/>
      <c r="O1654" s="693"/>
      <c r="P1654" s="693"/>
      <c r="Q1654" s="693"/>
    </row>
    <row r="1655" spans="1:17" ht="13.5">
      <c r="A1655" s="693"/>
      <c r="B1655" s="693"/>
      <c r="C1655" s="693"/>
      <c r="D1655" s="693"/>
      <c r="E1655" s="693"/>
      <c r="F1655" s="693"/>
      <c r="G1655" s="693"/>
      <c r="H1655" s="693"/>
      <c r="I1655" s="693"/>
      <c r="J1655" s="693"/>
      <c r="K1655" s="693"/>
      <c r="L1655" s="693"/>
      <c r="M1655" s="693"/>
      <c r="N1655" s="693"/>
      <c r="O1655" s="693"/>
      <c r="P1655" s="693"/>
      <c r="Q1655" s="693"/>
    </row>
    <row r="1656" spans="1:17" ht="13.5">
      <c r="A1656" s="693"/>
      <c r="B1656" s="693"/>
      <c r="C1656" s="693"/>
      <c r="D1656" s="693"/>
      <c r="E1656" s="693"/>
      <c r="F1656" s="693"/>
      <c r="G1656" s="693"/>
      <c r="H1656" s="693"/>
      <c r="I1656" s="693"/>
      <c r="J1656" s="693"/>
      <c r="K1656" s="693"/>
      <c r="L1656" s="693"/>
      <c r="M1656" s="693"/>
      <c r="N1656" s="693"/>
      <c r="O1656" s="693"/>
      <c r="P1656" s="693"/>
      <c r="Q1656" s="693"/>
    </row>
    <row r="1657" spans="1:17" ht="13.5">
      <c r="A1657" s="693"/>
      <c r="B1657" s="693"/>
      <c r="C1657" s="693"/>
      <c r="D1657" s="693"/>
      <c r="E1657" s="693"/>
      <c r="F1657" s="693"/>
      <c r="G1657" s="693"/>
      <c r="H1657" s="693"/>
      <c r="I1657" s="693"/>
      <c r="J1657" s="693"/>
      <c r="K1657" s="693"/>
      <c r="L1657" s="693"/>
      <c r="M1657" s="693"/>
      <c r="N1657" s="693"/>
      <c r="O1657" s="693"/>
      <c r="P1657" s="693"/>
      <c r="Q1657" s="693"/>
    </row>
    <row r="1658" spans="1:17" ht="13.5">
      <c r="A1658" s="693"/>
      <c r="B1658" s="693"/>
      <c r="C1658" s="693"/>
      <c r="D1658" s="693"/>
      <c r="E1658" s="693"/>
      <c r="F1658" s="693"/>
      <c r="G1658" s="693"/>
      <c r="H1658" s="693"/>
      <c r="I1658" s="693"/>
      <c r="J1658" s="693"/>
      <c r="K1658" s="693"/>
      <c r="L1658" s="693"/>
      <c r="M1658" s="693"/>
      <c r="N1658" s="693"/>
      <c r="O1658" s="693"/>
      <c r="P1658" s="693"/>
      <c r="Q1658" s="693"/>
    </row>
    <row r="1659" spans="1:17" ht="13.5">
      <c r="A1659" s="693"/>
      <c r="B1659" s="693"/>
      <c r="C1659" s="693"/>
      <c r="D1659" s="693"/>
      <c r="E1659" s="693"/>
      <c r="F1659" s="693"/>
      <c r="G1659" s="693"/>
      <c r="H1659" s="693"/>
      <c r="I1659" s="693"/>
      <c r="J1659" s="693"/>
      <c r="K1659" s="693"/>
      <c r="L1659" s="693"/>
      <c r="M1659" s="693"/>
      <c r="N1659" s="693"/>
      <c r="O1659" s="693"/>
      <c r="P1659" s="693"/>
      <c r="Q1659" s="693"/>
    </row>
    <row r="1660" spans="1:17" ht="13.5">
      <c r="A1660" s="693"/>
      <c r="B1660" s="693"/>
      <c r="C1660" s="693"/>
      <c r="D1660" s="693"/>
      <c r="E1660" s="693"/>
      <c r="F1660" s="693"/>
      <c r="G1660" s="693"/>
      <c r="H1660" s="693"/>
      <c r="I1660" s="693"/>
      <c r="J1660" s="693"/>
      <c r="K1660" s="693"/>
      <c r="L1660" s="693"/>
      <c r="M1660" s="693"/>
      <c r="N1660" s="693"/>
      <c r="O1660" s="693"/>
      <c r="P1660" s="693"/>
      <c r="Q1660" s="693"/>
    </row>
    <row r="1661" spans="1:17" ht="13.5">
      <c r="A1661" s="693"/>
      <c r="B1661" s="693"/>
      <c r="C1661" s="693"/>
      <c r="D1661" s="693"/>
      <c r="E1661" s="693"/>
      <c r="F1661" s="693"/>
      <c r="G1661" s="693"/>
      <c r="H1661" s="693"/>
      <c r="I1661" s="693"/>
      <c r="J1661" s="693"/>
      <c r="K1661" s="693"/>
      <c r="L1661" s="693"/>
      <c r="M1661" s="693"/>
      <c r="N1661" s="693"/>
      <c r="O1661" s="693"/>
      <c r="P1661" s="693"/>
      <c r="Q1661" s="693"/>
    </row>
    <row r="1662" spans="1:17" ht="13.5">
      <c r="A1662" s="693"/>
      <c r="B1662" s="693"/>
      <c r="C1662" s="693"/>
      <c r="D1662" s="693"/>
      <c r="E1662" s="693"/>
      <c r="F1662" s="693"/>
      <c r="G1662" s="693"/>
      <c r="H1662" s="693"/>
      <c r="I1662" s="693"/>
      <c r="J1662" s="693"/>
      <c r="K1662" s="693"/>
      <c r="L1662" s="693"/>
      <c r="M1662" s="693"/>
      <c r="N1662" s="693"/>
      <c r="O1662" s="693"/>
      <c r="P1662" s="693"/>
      <c r="Q1662" s="693"/>
    </row>
    <row r="1663" spans="1:17" ht="13.5">
      <c r="A1663" s="693"/>
      <c r="B1663" s="693"/>
      <c r="C1663" s="693"/>
      <c r="D1663" s="693"/>
      <c r="E1663" s="693"/>
      <c r="F1663" s="693"/>
      <c r="G1663" s="693"/>
      <c r="H1663" s="693"/>
      <c r="I1663" s="693"/>
      <c r="J1663" s="693"/>
      <c r="K1663" s="693"/>
      <c r="L1663" s="693"/>
      <c r="M1663" s="693"/>
      <c r="N1663" s="693"/>
      <c r="O1663" s="693"/>
      <c r="P1663" s="693"/>
      <c r="Q1663" s="693"/>
    </row>
    <row r="1664" spans="1:17" ht="13.5">
      <c r="A1664" s="693"/>
      <c r="B1664" s="693"/>
      <c r="C1664" s="693"/>
      <c r="D1664" s="693"/>
      <c r="E1664" s="693"/>
      <c r="F1664" s="693"/>
      <c r="G1664" s="693"/>
      <c r="H1664" s="693"/>
      <c r="I1664" s="693"/>
      <c r="J1664" s="693"/>
      <c r="K1664" s="693"/>
      <c r="L1664" s="693"/>
      <c r="M1664" s="693"/>
      <c r="N1664" s="693"/>
      <c r="O1664" s="693"/>
      <c r="P1664" s="693"/>
      <c r="Q1664" s="693"/>
    </row>
    <row r="1665" spans="1:17" ht="13.5">
      <c r="A1665" s="693"/>
      <c r="B1665" s="693"/>
      <c r="C1665" s="693"/>
      <c r="D1665" s="693"/>
      <c r="E1665" s="693"/>
      <c r="F1665" s="693"/>
      <c r="G1665" s="693"/>
      <c r="H1665" s="693"/>
      <c r="I1665" s="693"/>
      <c r="J1665" s="693"/>
      <c r="K1665" s="693"/>
      <c r="L1665" s="693"/>
      <c r="M1665" s="693"/>
      <c r="N1665" s="693"/>
      <c r="O1665" s="693"/>
      <c r="P1665" s="693"/>
      <c r="Q1665" s="693"/>
    </row>
    <row r="1666" spans="1:17" ht="13.5">
      <c r="A1666" s="693"/>
      <c r="B1666" s="693"/>
      <c r="C1666" s="693"/>
      <c r="D1666" s="693"/>
      <c r="E1666" s="693"/>
      <c r="F1666" s="693"/>
      <c r="G1666" s="693"/>
      <c r="H1666" s="693"/>
      <c r="I1666" s="693"/>
      <c r="J1666" s="693"/>
      <c r="K1666" s="693"/>
      <c r="L1666" s="693"/>
      <c r="M1666" s="693"/>
      <c r="N1666" s="693"/>
      <c r="O1666" s="693"/>
      <c r="P1666" s="693"/>
      <c r="Q1666" s="693"/>
    </row>
    <row r="1667" spans="1:17" ht="13.5">
      <c r="A1667" s="693"/>
      <c r="B1667" s="693"/>
      <c r="C1667" s="693"/>
      <c r="D1667" s="693"/>
      <c r="E1667" s="693"/>
      <c r="F1667" s="693"/>
      <c r="G1667" s="693"/>
      <c r="H1667" s="693"/>
      <c r="I1667" s="693"/>
      <c r="J1667" s="693"/>
      <c r="K1667" s="693"/>
      <c r="L1667" s="693"/>
      <c r="M1667" s="693"/>
      <c r="N1667" s="693"/>
      <c r="O1667" s="693"/>
      <c r="P1667" s="693"/>
      <c r="Q1667" s="693"/>
    </row>
    <row r="1668" spans="1:17" ht="13.5">
      <c r="A1668" s="693"/>
      <c r="B1668" s="693"/>
      <c r="C1668" s="693"/>
      <c r="D1668" s="693"/>
      <c r="E1668" s="693"/>
      <c r="F1668" s="693"/>
      <c r="G1668" s="693"/>
      <c r="H1668" s="693"/>
      <c r="I1668" s="693"/>
      <c r="J1668" s="693"/>
      <c r="K1668" s="693"/>
      <c r="L1668" s="693"/>
      <c r="M1668" s="693"/>
      <c r="N1668" s="693"/>
      <c r="O1668" s="693"/>
      <c r="P1668" s="693"/>
      <c r="Q1668" s="693"/>
    </row>
    <row r="1669" spans="1:17" ht="13.5">
      <c r="A1669" s="693"/>
      <c r="B1669" s="693"/>
      <c r="C1669" s="693"/>
      <c r="D1669" s="693"/>
      <c r="E1669" s="693"/>
      <c r="F1669" s="693"/>
      <c r="G1669" s="693"/>
      <c r="H1669" s="693"/>
      <c r="I1669" s="693"/>
      <c r="J1669" s="693"/>
      <c r="K1669" s="693"/>
      <c r="L1669" s="693"/>
      <c r="M1669" s="693"/>
      <c r="N1669" s="693"/>
      <c r="O1669" s="693"/>
      <c r="P1669" s="693"/>
      <c r="Q1669" s="693"/>
    </row>
    <row r="1670" spans="1:17" ht="13.5">
      <c r="A1670" s="693"/>
      <c r="B1670" s="693"/>
      <c r="C1670" s="693"/>
      <c r="D1670" s="693"/>
      <c r="E1670" s="693"/>
      <c r="F1670" s="693"/>
      <c r="G1670" s="693"/>
      <c r="H1670" s="693"/>
      <c r="I1670" s="693"/>
      <c r="J1670" s="693"/>
      <c r="K1670" s="693"/>
      <c r="L1670" s="693"/>
      <c r="M1670" s="693"/>
      <c r="N1670" s="693"/>
      <c r="O1670" s="693"/>
      <c r="P1670" s="693"/>
      <c r="Q1670" s="693"/>
    </row>
    <row r="1671" spans="1:17" ht="13.5">
      <c r="A1671" s="693"/>
      <c r="B1671" s="693"/>
      <c r="C1671" s="693"/>
      <c r="D1671" s="693"/>
      <c r="E1671" s="693"/>
      <c r="F1671" s="693"/>
      <c r="G1671" s="693"/>
      <c r="H1671" s="693"/>
      <c r="I1671" s="693"/>
      <c r="J1671" s="693"/>
      <c r="K1671" s="693"/>
      <c r="L1671" s="693"/>
      <c r="M1671" s="693"/>
      <c r="N1671" s="693"/>
      <c r="O1671" s="693"/>
      <c r="P1671" s="693"/>
      <c r="Q1671" s="693"/>
    </row>
    <row r="1672" spans="1:17" ht="13.5">
      <c r="A1672" s="693"/>
      <c r="B1672" s="693"/>
      <c r="C1672" s="693"/>
      <c r="D1672" s="693"/>
      <c r="E1672" s="693"/>
      <c r="F1672" s="693"/>
      <c r="G1672" s="693"/>
      <c r="H1672" s="693"/>
      <c r="I1672" s="693"/>
      <c r="J1672" s="693"/>
      <c r="K1672" s="693"/>
      <c r="L1672" s="693"/>
      <c r="M1672" s="693"/>
      <c r="N1672" s="693"/>
      <c r="O1672" s="693"/>
      <c r="P1672" s="693"/>
      <c r="Q1672" s="693"/>
    </row>
    <row r="1673" spans="1:17" ht="13.5">
      <c r="A1673" s="693"/>
      <c r="B1673" s="693"/>
      <c r="C1673" s="693"/>
      <c r="D1673" s="693"/>
      <c r="E1673" s="693"/>
      <c r="F1673" s="693"/>
      <c r="G1673" s="693"/>
      <c r="H1673" s="693"/>
      <c r="I1673" s="693"/>
      <c r="J1673" s="693"/>
      <c r="K1673" s="693"/>
      <c r="L1673" s="693"/>
      <c r="M1673" s="693"/>
      <c r="N1673" s="693"/>
      <c r="O1673" s="693"/>
      <c r="P1673" s="693"/>
      <c r="Q1673" s="693"/>
    </row>
    <row r="1674" spans="1:17" ht="13.5">
      <c r="A1674" s="693"/>
      <c r="B1674" s="693"/>
      <c r="C1674" s="693"/>
      <c r="D1674" s="693"/>
      <c r="E1674" s="693"/>
      <c r="F1674" s="693"/>
      <c r="G1674" s="693"/>
      <c r="H1674" s="693"/>
      <c r="I1674" s="693"/>
      <c r="J1674" s="693"/>
      <c r="K1674" s="693"/>
      <c r="L1674" s="693"/>
      <c r="M1674" s="693"/>
      <c r="N1674" s="693"/>
      <c r="O1674" s="693"/>
      <c r="P1674" s="693"/>
      <c r="Q1674" s="693"/>
    </row>
    <row r="1675" spans="1:17" ht="13.5">
      <c r="A1675" s="693"/>
      <c r="B1675" s="693"/>
      <c r="C1675" s="693"/>
      <c r="D1675" s="693"/>
      <c r="E1675" s="693"/>
      <c r="F1675" s="693"/>
      <c r="G1675" s="693"/>
      <c r="H1675" s="693"/>
      <c r="I1675" s="693"/>
      <c r="J1675" s="693"/>
      <c r="K1675" s="693"/>
      <c r="L1675" s="693"/>
      <c r="M1675" s="693"/>
      <c r="N1675" s="693"/>
      <c r="O1675" s="693"/>
      <c r="P1675" s="693"/>
      <c r="Q1675" s="693"/>
    </row>
    <row r="1676" spans="1:17" ht="13.5">
      <c r="A1676" s="693"/>
      <c r="B1676" s="693"/>
      <c r="C1676" s="693"/>
      <c r="D1676" s="693"/>
      <c r="E1676" s="693"/>
      <c r="F1676" s="693"/>
      <c r="G1676" s="693"/>
      <c r="H1676" s="693"/>
      <c r="I1676" s="693"/>
      <c r="J1676" s="693"/>
      <c r="K1676" s="693"/>
      <c r="L1676" s="693"/>
      <c r="M1676" s="693"/>
      <c r="N1676" s="693"/>
      <c r="O1676" s="693"/>
      <c r="P1676" s="693"/>
      <c r="Q1676" s="693"/>
    </row>
    <row r="1677" spans="1:17" ht="13.5">
      <c r="A1677" s="693"/>
      <c r="B1677" s="693"/>
      <c r="C1677" s="693"/>
      <c r="D1677" s="693"/>
      <c r="E1677" s="693"/>
      <c r="F1677" s="693"/>
      <c r="G1677" s="693"/>
      <c r="H1677" s="693"/>
      <c r="I1677" s="693"/>
      <c r="J1677" s="693"/>
      <c r="K1677" s="693"/>
      <c r="L1677" s="693"/>
      <c r="M1677" s="693"/>
      <c r="N1677" s="693"/>
      <c r="O1677" s="693"/>
      <c r="P1677" s="693"/>
      <c r="Q1677" s="693"/>
    </row>
    <row r="1678" spans="1:17" ht="13.5">
      <c r="A1678" s="693"/>
      <c r="B1678" s="693"/>
      <c r="C1678" s="693"/>
      <c r="D1678" s="693"/>
      <c r="E1678" s="693"/>
      <c r="F1678" s="693"/>
      <c r="G1678" s="693"/>
      <c r="H1678" s="693"/>
      <c r="I1678" s="693"/>
      <c r="J1678" s="693"/>
      <c r="K1678" s="693"/>
      <c r="L1678" s="693"/>
      <c r="M1678" s="693"/>
      <c r="N1678" s="693"/>
      <c r="O1678" s="693"/>
      <c r="P1678" s="693"/>
      <c r="Q1678" s="693"/>
    </row>
    <row r="1679" spans="1:17" ht="13.5">
      <c r="A1679" s="693"/>
      <c r="B1679" s="693"/>
      <c r="C1679" s="693"/>
      <c r="D1679" s="693"/>
      <c r="E1679" s="693"/>
      <c r="F1679" s="693"/>
      <c r="G1679" s="693"/>
      <c r="H1679" s="693"/>
      <c r="I1679" s="693"/>
      <c r="J1679" s="693"/>
      <c r="K1679" s="693"/>
      <c r="L1679" s="693"/>
      <c r="M1679" s="693"/>
      <c r="N1679" s="693"/>
      <c r="O1679" s="693"/>
      <c r="P1679" s="693"/>
      <c r="Q1679" s="693"/>
    </row>
    <row r="1680" spans="1:17" ht="13.5">
      <c r="A1680" s="693"/>
      <c r="B1680" s="693"/>
      <c r="C1680" s="693"/>
      <c r="D1680" s="693"/>
      <c r="E1680" s="693"/>
      <c r="F1680" s="693"/>
      <c r="G1680" s="693"/>
      <c r="H1680" s="693"/>
      <c r="I1680" s="693"/>
      <c r="J1680" s="693"/>
      <c r="K1680" s="693"/>
      <c r="L1680" s="693"/>
      <c r="M1680" s="693"/>
      <c r="N1680" s="693"/>
      <c r="O1680" s="693"/>
      <c r="P1680" s="693"/>
      <c r="Q1680" s="693"/>
    </row>
    <row r="1681" spans="1:17" ht="13.5">
      <c r="A1681" s="693"/>
      <c r="B1681" s="693"/>
      <c r="C1681" s="693"/>
      <c r="D1681" s="693"/>
      <c r="E1681" s="693"/>
      <c r="F1681" s="693"/>
      <c r="G1681" s="693"/>
      <c r="H1681" s="693"/>
      <c r="I1681" s="693"/>
      <c r="J1681" s="693"/>
      <c r="K1681" s="693"/>
      <c r="L1681" s="693"/>
      <c r="M1681" s="693"/>
      <c r="N1681" s="693"/>
      <c r="O1681" s="693"/>
      <c r="P1681" s="693"/>
      <c r="Q1681" s="693"/>
    </row>
    <row r="1682" spans="1:17" ht="13.5">
      <c r="A1682" s="693"/>
      <c r="B1682" s="693"/>
      <c r="C1682" s="693"/>
      <c r="D1682" s="693"/>
      <c r="E1682" s="693"/>
      <c r="F1682" s="693"/>
      <c r="G1682" s="693"/>
      <c r="H1682" s="693"/>
      <c r="I1682" s="693"/>
      <c r="J1682" s="693"/>
      <c r="K1682" s="693"/>
      <c r="L1682" s="693"/>
      <c r="M1682" s="693"/>
      <c r="N1682" s="693"/>
      <c r="O1682" s="693"/>
      <c r="P1682" s="693"/>
      <c r="Q1682" s="693"/>
    </row>
    <row r="1683" spans="1:17" ht="13.5">
      <c r="A1683" s="693"/>
      <c r="B1683" s="693"/>
      <c r="C1683" s="693"/>
      <c r="D1683" s="693"/>
      <c r="E1683" s="693"/>
      <c r="F1683" s="693"/>
      <c r="G1683" s="693"/>
      <c r="H1683" s="693"/>
      <c r="I1683" s="693"/>
      <c r="J1683" s="693"/>
      <c r="K1683" s="693"/>
      <c r="L1683" s="693"/>
      <c r="M1683" s="693"/>
      <c r="N1683" s="693"/>
      <c r="O1683" s="693"/>
      <c r="P1683" s="693"/>
      <c r="Q1683" s="693"/>
    </row>
    <row r="1684" spans="1:17" ht="13.5">
      <c r="A1684" s="693"/>
      <c r="B1684" s="693"/>
      <c r="C1684" s="693"/>
      <c r="D1684" s="693"/>
      <c r="E1684" s="693"/>
      <c r="F1684" s="693"/>
      <c r="G1684" s="693"/>
      <c r="H1684" s="693"/>
      <c r="I1684" s="693"/>
      <c r="J1684" s="693"/>
      <c r="K1684" s="693"/>
      <c r="L1684" s="693"/>
      <c r="M1684" s="693"/>
      <c r="N1684" s="693"/>
      <c r="O1684" s="693"/>
      <c r="P1684" s="693"/>
      <c r="Q1684" s="693"/>
    </row>
    <row r="1685" spans="1:17" ht="13.5">
      <c r="A1685" s="693"/>
      <c r="B1685" s="693"/>
      <c r="C1685" s="693"/>
      <c r="D1685" s="693"/>
      <c r="E1685" s="693"/>
      <c r="F1685" s="693"/>
      <c r="G1685" s="693"/>
      <c r="H1685" s="693"/>
      <c r="I1685" s="693"/>
      <c r="J1685" s="693"/>
      <c r="K1685" s="693"/>
      <c r="L1685" s="693"/>
      <c r="M1685" s="693"/>
      <c r="N1685" s="693"/>
      <c r="O1685" s="693"/>
      <c r="P1685" s="693"/>
      <c r="Q1685" s="693"/>
    </row>
    <row r="1686" spans="1:17" ht="13.5">
      <c r="A1686" s="693"/>
      <c r="B1686" s="693"/>
      <c r="C1686" s="693"/>
      <c r="D1686" s="693"/>
      <c r="E1686" s="693"/>
      <c r="F1686" s="693"/>
      <c r="G1686" s="693"/>
      <c r="H1686" s="693"/>
      <c r="I1686" s="693"/>
      <c r="J1686" s="693"/>
      <c r="K1686" s="693"/>
      <c r="L1686" s="693"/>
      <c r="M1686" s="693"/>
      <c r="N1686" s="693"/>
      <c r="O1686" s="693"/>
      <c r="P1686" s="693"/>
      <c r="Q1686" s="693"/>
    </row>
    <row r="1687" spans="1:17" ht="13.5">
      <c r="A1687" s="693"/>
      <c r="B1687" s="693"/>
      <c r="C1687" s="693"/>
      <c r="D1687" s="693"/>
      <c r="E1687" s="693"/>
      <c r="F1687" s="693"/>
      <c r="G1687" s="693"/>
      <c r="H1687" s="693"/>
      <c r="I1687" s="693"/>
      <c r="J1687" s="693"/>
      <c r="K1687" s="693"/>
      <c r="L1687" s="693"/>
      <c r="M1687" s="693"/>
      <c r="N1687" s="693"/>
      <c r="O1687" s="693"/>
      <c r="P1687" s="693"/>
      <c r="Q1687" s="693"/>
    </row>
    <row r="1688" spans="1:17" ht="13.5">
      <c r="A1688" s="693"/>
      <c r="B1688" s="693"/>
      <c r="C1688" s="693"/>
      <c r="D1688" s="693"/>
      <c r="E1688" s="693"/>
      <c r="F1688" s="693"/>
      <c r="G1688" s="693"/>
      <c r="H1688" s="693"/>
      <c r="I1688" s="693"/>
      <c r="J1688" s="693"/>
      <c r="K1688" s="693"/>
      <c r="L1688" s="693"/>
      <c r="M1688" s="693"/>
      <c r="N1688" s="693"/>
      <c r="O1688" s="693"/>
      <c r="P1688" s="693"/>
      <c r="Q1688" s="693"/>
    </row>
    <row r="1689" spans="1:17" ht="13.5">
      <c r="A1689" s="693"/>
      <c r="B1689" s="693"/>
      <c r="C1689" s="693"/>
      <c r="D1689" s="693"/>
      <c r="E1689" s="693"/>
      <c r="F1689" s="693"/>
      <c r="G1689" s="693"/>
      <c r="H1689" s="693"/>
      <c r="I1689" s="693"/>
      <c r="J1689" s="693"/>
      <c r="K1689" s="693"/>
      <c r="L1689" s="693"/>
      <c r="M1689" s="693"/>
      <c r="N1689" s="693"/>
      <c r="O1689" s="693"/>
      <c r="P1689" s="693"/>
      <c r="Q1689" s="693"/>
    </row>
    <row r="1690" spans="1:17" ht="13.5">
      <c r="A1690" s="693"/>
      <c r="B1690" s="693"/>
      <c r="C1690" s="693"/>
      <c r="D1690" s="693"/>
      <c r="E1690" s="693"/>
      <c r="F1690" s="693"/>
      <c r="G1690" s="693"/>
      <c r="H1690" s="693"/>
      <c r="I1690" s="693"/>
      <c r="J1690" s="693"/>
      <c r="K1690" s="693"/>
      <c r="L1690" s="693"/>
      <c r="M1690" s="693"/>
      <c r="N1690" s="693"/>
      <c r="O1690" s="693"/>
      <c r="P1690" s="693"/>
      <c r="Q1690" s="693"/>
    </row>
    <row r="1691" spans="1:17" ht="13.5">
      <c r="A1691" s="693"/>
      <c r="B1691" s="693"/>
      <c r="C1691" s="693"/>
      <c r="D1691" s="693"/>
      <c r="E1691" s="693"/>
      <c r="F1691" s="693"/>
      <c r="G1691" s="693"/>
      <c r="H1691" s="693"/>
      <c r="I1691" s="693"/>
      <c r="J1691" s="693"/>
      <c r="K1691" s="693"/>
      <c r="L1691" s="693"/>
      <c r="M1691" s="693"/>
      <c r="N1691" s="693"/>
      <c r="O1691" s="693"/>
      <c r="P1691" s="693"/>
      <c r="Q1691" s="693"/>
    </row>
    <row r="1692" spans="1:17" ht="13.5">
      <c r="A1692" s="693"/>
      <c r="B1692" s="693"/>
      <c r="C1692" s="693"/>
      <c r="D1692" s="693"/>
      <c r="E1692" s="693"/>
      <c r="F1692" s="693"/>
      <c r="G1692" s="693"/>
      <c r="H1692" s="693"/>
      <c r="I1692" s="693"/>
      <c r="J1692" s="693"/>
      <c r="K1692" s="693"/>
      <c r="L1692" s="693"/>
      <c r="M1692" s="693"/>
      <c r="N1692" s="693"/>
      <c r="O1692" s="693"/>
      <c r="P1692" s="693"/>
      <c r="Q1692" s="693"/>
    </row>
    <row r="1693" spans="1:17" ht="13.5">
      <c r="A1693" s="693"/>
      <c r="B1693" s="693"/>
      <c r="C1693" s="693"/>
      <c r="D1693" s="693"/>
      <c r="E1693" s="693"/>
      <c r="F1693" s="693"/>
      <c r="G1693" s="693"/>
      <c r="H1693" s="693"/>
      <c r="I1693" s="693"/>
      <c r="J1693" s="693"/>
      <c r="K1693" s="693"/>
      <c r="L1693" s="693"/>
      <c r="M1693" s="693"/>
      <c r="N1693" s="693"/>
      <c r="O1693" s="693"/>
      <c r="P1693" s="693"/>
      <c r="Q1693" s="693"/>
    </row>
    <row r="1694" spans="1:17" ht="13.5">
      <c r="A1694" s="693"/>
      <c r="B1694" s="693"/>
      <c r="C1694" s="693"/>
      <c r="D1694" s="693"/>
      <c r="E1694" s="693"/>
      <c r="F1694" s="693"/>
      <c r="G1694" s="693"/>
      <c r="H1694" s="693"/>
      <c r="I1694" s="693"/>
      <c r="J1694" s="693"/>
      <c r="K1694" s="693"/>
      <c r="L1694" s="693"/>
      <c r="M1694" s="693"/>
      <c r="N1694" s="693"/>
      <c r="O1694" s="693"/>
      <c r="P1694" s="693"/>
      <c r="Q1694" s="693"/>
    </row>
    <row r="1695" spans="1:17" ht="13.5">
      <c r="A1695" s="693"/>
      <c r="B1695" s="693"/>
      <c r="C1695" s="693"/>
      <c r="D1695" s="693"/>
      <c r="E1695" s="693"/>
      <c r="F1695" s="693"/>
      <c r="G1695" s="693"/>
      <c r="H1695" s="693"/>
      <c r="I1695" s="693"/>
      <c r="J1695" s="693"/>
      <c r="K1695" s="693"/>
      <c r="L1695" s="693"/>
      <c r="M1695" s="693"/>
      <c r="N1695" s="693"/>
      <c r="O1695" s="693"/>
      <c r="P1695" s="693"/>
      <c r="Q1695" s="693"/>
    </row>
    <row r="1696" spans="1:17" ht="13.5">
      <c r="A1696" s="693"/>
      <c r="B1696" s="693"/>
      <c r="C1696" s="693"/>
      <c r="D1696" s="693"/>
      <c r="E1696" s="693"/>
      <c r="F1696" s="693"/>
      <c r="G1696" s="693"/>
      <c r="H1696" s="693"/>
      <c r="I1696" s="693"/>
      <c r="J1696" s="693"/>
      <c r="K1696" s="693"/>
      <c r="L1696" s="693"/>
      <c r="M1696" s="693"/>
      <c r="N1696" s="693"/>
      <c r="O1696" s="693"/>
      <c r="P1696" s="693"/>
      <c r="Q1696" s="693"/>
    </row>
    <row r="1697" spans="1:17" ht="13.5">
      <c r="A1697" s="693"/>
      <c r="B1697" s="693"/>
      <c r="C1697" s="693"/>
      <c r="D1697" s="693"/>
      <c r="E1697" s="693"/>
      <c r="F1697" s="693"/>
      <c r="G1697" s="693"/>
      <c r="H1697" s="693"/>
      <c r="I1697" s="693"/>
      <c r="J1697" s="693"/>
      <c r="K1697" s="693"/>
      <c r="L1697" s="693"/>
      <c r="M1697" s="693"/>
      <c r="N1697" s="693"/>
      <c r="O1697" s="693"/>
      <c r="P1697" s="693"/>
      <c r="Q1697" s="693"/>
    </row>
    <row r="1698" spans="1:17" ht="13.5">
      <c r="A1698" s="693"/>
      <c r="B1698" s="693"/>
      <c r="C1698" s="693"/>
      <c r="D1698" s="693"/>
      <c r="E1698" s="693"/>
      <c r="F1698" s="693"/>
      <c r="G1698" s="693"/>
      <c r="H1698" s="693"/>
      <c r="I1698" s="693"/>
      <c r="J1698" s="693"/>
      <c r="K1698" s="693"/>
      <c r="L1698" s="693"/>
      <c r="M1698" s="693"/>
      <c r="N1698" s="693"/>
      <c r="O1698" s="693"/>
      <c r="P1698" s="693"/>
      <c r="Q1698" s="693"/>
    </row>
    <row r="1699" spans="1:17" ht="13.5">
      <c r="A1699" s="693"/>
      <c r="B1699" s="693"/>
      <c r="C1699" s="693"/>
      <c r="D1699" s="693"/>
      <c r="E1699" s="693"/>
      <c r="F1699" s="693"/>
      <c r="G1699" s="693"/>
      <c r="H1699" s="693"/>
      <c r="I1699" s="693"/>
      <c r="J1699" s="693"/>
      <c r="K1699" s="693"/>
      <c r="L1699" s="693"/>
      <c r="M1699" s="693"/>
      <c r="N1699" s="693"/>
      <c r="O1699" s="693"/>
      <c r="P1699" s="693"/>
      <c r="Q1699" s="693"/>
    </row>
    <row r="1700" spans="1:17" ht="13.5">
      <c r="A1700" s="693"/>
      <c r="B1700" s="693"/>
      <c r="C1700" s="693"/>
      <c r="D1700" s="693"/>
      <c r="E1700" s="693"/>
      <c r="F1700" s="693"/>
      <c r="G1700" s="693"/>
      <c r="H1700" s="693"/>
      <c r="I1700" s="693"/>
      <c r="J1700" s="693"/>
      <c r="K1700" s="693"/>
      <c r="L1700" s="693"/>
      <c r="M1700" s="693"/>
      <c r="N1700" s="693"/>
      <c r="O1700" s="693"/>
      <c r="P1700" s="693"/>
      <c r="Q1700" s="693"/>
    </row>
    <row r="1701" spans="1:17" ht="13.5">
      <c r="A1701" s="693"/>
      <c r="B1701" s="693"/>
      <c r="C1701" s="693"/>
      <c r="D1701" s="693"/>
      <c r="E1701" s="693"/>
      <c r="F1701" s="693"/>
      <c r="G1701" s="693"/>
      <c r="H1701" s="693"/>
      <c r="I1701" s="693"/>
      <c r="J1701" s="693"/>
      <c r="K1701" s="693"/>
      <c r="L1701" s="693"/>
      <c r="M1701" s="693"/>
      <c r="N1701" s="693"/>
      <c r="O1701" s="693"/>
      <c r="P1701" s="693"/>
      <c r="Q1701" s="693"/>
    </row>
    <row r="1702" spans="1:17" ht="13.5">
      <c r="A1702" s="693"/>
      <c r="B1702" s="693"/>
      <c r="C1702" s="693"/>
      <c r="D1702" s="693"/>
      <c r="E1702" s="693"/>
      <c r="F1702" s="693"/>
      <c r="G1702" s="693"/>
      <c r="H1702" s="693"/>
      <c r="I1702" s="693"/>
      <c r="J1702" s="693"/>
      <c r="K1702" s="693"/>
      <c r="L1702" s="693"/>
      <c r="M1702" s="693"/>
      <c r="N1702" s="693"/>
      <c r="O1702" s="693"/>
      <c r="P1702" s="693"/>
      <c r="Q1702" s="693"/>
    </row>
    <row r="1703" spans="1:17" ht="13.5">
      <c r="A1703" s="693"/>
      <c r="B1703" s="693"/>
      <c r="C1703" s="693"/>
      <c r="D1703" s="693"/>
      <c r="E1703" s="693"/>
      <c r="F1703" s="693"/>
      <c r="G1703" s="693"/>
      <c r="H1703" s="693"/>
      <c r="I1703" s="693"/>
      <c r="J1703" s="693"/>
      <c r="K1703" s="693"/>
      <c r="L1703" s="693"/>
      <c r="M1703" s="693"/>
      <c r="N1703" s="693"/>
      <c r="O1703" s="693"/>
      <c r="P1703" s="693"/>
      <c r="Q1703" s="693"/>
    </row>
    <row r="1704" spans="1:17" ht="13.5">
      <c r="A1704" s="693"/>
      <c r="B1704" s="693"/>
      <c r="C1704" s="693"/>
      <c r="D1704" s="693"/>
      <c r="E1704" s="693"/>
      <c r="F1704" s="693"/>
      <c r="G1704" s="693"/>
      <c r="H1704" s="693"/>
      <c r="I1704" s="693"/>
      <c r="J1704" s="693"/>
      <c r="K1704" s="693"/>
      <c r="L1704" s="693"/>
      <c r="M1704" s="693"/>
      <c r="N1704" s="693"/>
      <c r="O1704" s="693"/>
      <c r="P1704" s="693"/>
      <c r="Q1704" s="693"/>
    </row>
    <row r="1705" spans="1:17" ht="13.5">
      <c r="A1705" s="693"/>
      <c r="B1705" s="693"/>
      <c r="C1705" s="693"/>
      <c r="D1705" s="693"/>
      <c r="E1705" s="693"/>
      <c r="F1705" s="693"/>
      <c r="G1705" s="693"/>
      <c r="H1705" s="693"/>
      <c r="I1705" s="693"/>
      <c r="J1705" s="693"/>
      <c r="K1705" s="693"/>
      <c r="L1705" s="693"/>
      <c r="M1705" s="693"/>
      <c r="N1705" s="693"/>
      <c r="O1705" s="693"/>
      <c r="P1705" s="693"/>
      <c r="Q1705" s="693"/>
    </row>
    <row r="1706" spans="1:17" ht="13.5">
      <c r="A1706" s="693"/>
      <c r="B1706" s="693"/>
      <c r="C1706" s="693"/>
      <c r="D1706" s="693"/>
      <c r="E1706" s="693"/>
      <c r="F1706" s="693"/>
      <c r="G1706" s="693"/>
      <c r="H1706" s="693"/>
      <c r="I1706" s="693"/>
      <c r="J1706" s="693"/>
      <c r="K1706" s="693"/>
      <c r="L1706" s="693"/>
      <c r="M1706" s="693"/>
      <c r="N1706" s="693"/>
      <c r="O1706" s="693"/>
      <c r="P1706" s="693"/>
      <c r="Q1706" s="693"/>
    </row>
    <row r="1707" spans="1:17" ht="13.5">
      <c r="A1707" s="693"/>
      <c r="B1707" s="693"/>
      <c r="C1707" s="693"/>
      <c r="D1707" s="693"/>
      <c r="E1707" s="693"/>
      <c r="F1707" s="693"/>
      <c r="G1707" s="693"/>
      <c r="H1707" s="693"/>
      <c r="I1707" s="693"/>
      <c r="J1707" s="693"/>
      <c r="K1707" s="693"/>
      <c r="L1707" s="693"/>
      <c r="M1707" s="693"/>
      <c r="N1707" s="693"/>
      <c r="O1707" s="693"/>
      <c r="P1707" s="693"/>
      <c r="Q1707" s="693"/>
    </row>
    <row r="1708" spans="1:17" ht="13.5">
      <c r="A1708" s="693"/>
      <c r="B1708" s="693"/>
      <c r="C1708" s="693"/>
      <c r="D1708" s="693"/>
      <c r="E1708" s="693"/>
      <c r="F1708" s="693"/>
      <c r="G1708" s="693"/>
      <c r="H1708" s="693"/>
      <c r="I1708" s="693"/>
      <c r="J1708" s="693"/>
      <c r="K1708" s="693"/>
      <c r="L1708" s="693"/>
      <c r="M1708" s="693"/>
      <c r="N1708" s="693"/>
      <c r="O1708" s="693"/>
      <c r="P1708" s="693"/>
      <c r="Q1708" s="693"/>
    </row>
    <row r="1709" spans="1:17" ht="13.5">
      <c r="A1709" s="693"/>
      <c r="B1709" s="693"/>
      <c r="C1709" s="693"/>
      <c r="D1709" s="693"/>
      <c r="E1709" s="693"/>
      <c r="F1709" s="693"/>
      <c r="G1709" s="693"/>
      <c r="H1709" s="693"/>
      <c r="I1709" s="693"/>
      <c r="J1709" s="693"/>
      <c r="K1709" s="693"/>
      <c r="L1709" s="693"/>
      <c r="M1709" s="693"/>
      <c r="N1709" s="693"/>
      <c r="O1709" s="693"/>
      <c r="P1709" s="693"/>
      <c r="Q1709" s="693"/>
    </row>
    <row r="1710" spans="1:17" ht="13.5">
      <c r="A1710" s="693"/>
      <c r="B1710" s="693"/>
      <c r="C1710" s="693"/>
      <c r="D1710" s="693"/>
      <c r="E1710" s="693"/>
      <c r="F1710" s="693"/>
      <c r="G1710" s="693"/>
      <c r="H1710" s="693"/>
      <c r="I1710" s="693"/>
      <c r="J1710" s="693"/>
      <c r="K1710" s="693"/>
      <c r="L1710" s="693"/>
      <c r="M1710" s="693"/>
      <c r="N1710" s="693"/>
      <c r="O1710" s="693"/>
      <c r="P1710" s="693"/>
      <c r="Q1710" s="693"/>
    </row>
    <row r="1711" spans="1:17" ht="13.5">
      <c r="A1711" s="693"/>
      <c r="B1711" s="693"/>
      <c r="C1711" s="693"/>
      <c r="D1711" s="693"/>
      <c r="E1711" s="693"/>
      <c r="F1711" s="693"/>
      <c r="G1711" s="693"/>
      <c r="H1711" s="693"/>
      <c r="I1711" s="693"/>
      <c r="J1711" s="693"/>
      <c r="K1711" s="693"/>
      <c r="L1711" s="693"/>
      <c r="M1711" s="693"/>
      <c r="N1711" s="693"/>
      <c r="O1711" s="693"/>
      <c r="P1711" s="693"/>
      <c r="Q1711" s="693"/>
    </row>
    <row r="1712" spans="1:17" ht="13.5">
      <c r="A1712" s="693"/>
      <c r="B1712" s="693"/>
      <c r="C1712" s="693"/>
      <c r="D1712" s="693"/>
      <c r="E1712" s="693"/>
      <c r="F1712" s="693"/>
      <c r="G1712" s="693"/>
      <c r="H1712" s="693"/>
      <c r="I1712" s="693"/>
      <c r="J1712" s="693"/>
      <c r="K1712" s="693"/>
      <c r="L1712" s="693"/>
      <c r="M1712" s="693"/>
      <c r="N1712" s="693"/>
      <c r="O1712" s="693"/>
      <c r="P1712" s="693"/>
      <c r="Q1712" s="693"/>
    </row>
    <row r="1713" spans="1:17" ht="13.5">
      <c r="A1713" s="693"/>
      <c r="B1713" s="693"/>
      <c r="C1713" s="693"/>
      <c r="D1713" s="693"/>
      <c r="E1713" s="693"/>
      <c r="F1713" s="693"/>
      <c r="G1713" s="693"/>
      <c r="H1713" s="693"/>
      <c r="I1713" s="693"/>
      <c r="J1713" s="693"/>
      <c r="K1713" s="693"/>
      <c r="L1713" s="693"/>
      <c r="M1713" s="693"/>
      <c r="N1713" s="693"/>
      <c r="O1713" s="693"/>
      <c r="P1713" s="693"/>
      <c r="Q1713" s="693"/>
    </row>
    <row r="1714" spans="1:17" ht="13.5">
      <c r="A1714" s="693"/>
      <c r="B1714" s="693"/>
      <c r="C1714" s="693"/>
      <c r="D1714" s="693"/>
      <c r="E1714" s="693"/>
      <c r="F1714" s="693"/>
      <c r="G1714" s="693"/>
      <c r="H1714" s="693"/>
      <c r="I1714" s="693"/>
      <c r="J1714" s="693"/>
      <c r="K1714" s="693"/>
      <c r="L1714" s="693"/>
      <c r="M1714" s="693"/>
      <c r="N1714" s="693"/>
      <c r="O1714" s="693"/>
      <c r="P1714" s="693"/>
      <c r="Q1714" s="693"/>
    </row>
    <row r="1715" spans="1:17" ht="13.5">
      <c r="A1715" s="693"/>
      <c r="B1715" s="693"/>
      <c r="C1715" s="693"/>
      <c r="D1715" s="693"/>
      <c r="E1715" s="693"/>
      <c r="F1715" s="693"/>
      <c r="G1715" s="693"/>
      <c r="H1715" s="693"/>
      <c r="I1715" s="693"/>
      <c r="J1715" s="693"/>
      <c r="K1715" s="693"/>
      <c r="L1715" s="693"/>
      <c r="M1715" s="693"/>
      <c r="N1715" s="693"/>
      <c r="O1715" s="693"/>
      <c r="P1715" s="693"/>
      <c r="Q1715" s="693"/>
    </row>
    <row r="1716" spans="1:17" ht="13.5">
      <c r="A1716" s="693"/>
      <c r="B1716" s="693"/>
      <c r="C1716" s="693"/>
      <c r="D1716" s="693"/>
      <c r="E1716" s="693"/>
      <c r="F1716" s="693"/>
      <c r="G1716" s="693"/>
      <c r="H1716" s="693"/>
      <c r="I1716" s="693"/>
      <c r="J1716" s="693"/>
      <c r="K1716" s="693"/>
      <c r="L1716" s="693"/>
      <c r="M1716" s="693"/>
      <c r="N1716" s="693"/>
      <c r="O1716" s="693"/>
      <c r="P1716" s="693"/>
      <c r="Q1716" s="693"/>
    </row>
    <row r="1717" spans="1:17" ht="13.5">
      <c r="A1717" s="693"/>
      <c r="B1717" s="693"/>
      <c r="C1717" s="693"/>
      <c r="D1717" s="693"/>
      <c r="E1717" s="693"/>
      <c r="F1717" s="693"/>
      <c r="G1717" s="693"/>
      <c r="H1717" s="693"/>
      <c r="I1717" s="693"/>
      <c r="J1717" s="693"/>
      <c r="K1717" s="693"/>
      <c r="L1717" s="693"/>
      <c r="M1717" s="693"/>
      <c r="N1717" s="693"/>
      <c r="O1717" s="693"/>
      <c r="P1717" s="693"/>
      <c r="Q1717" s="693"/>
    </row>
    <row r="1718" spans="1:17" ht="13.5">
      <c r="A1718" s="693"/>
      <c r="B1718" s="693"/>
      <c r="C1718" s="693"/>
      <c r="D1718" s="693"/>
      <c r="E1718" s="693"/>
      <c r="F1718" s="693"/>
      <c r="G1718" s="693"/>
      <c r="H1718" s="693"/>
      <c r="I1718" s="693"/>
      <c r="J1718" s="693"/>
      <c r="K1718" s="693"/>
      <c r="L1718" s="693"/>
      <c r="M1718" s="693"/>
      <c r="N1718" s="693"/>
      <c r="O1718" s="693"/>
      <c r="P1718" s="693"/>
      <c r="Q1718" s="693"/>
    </row>
    <row r="1719" spans="1:17" ht="13.5">
      <c r="A1719" s="693"/>
      <c r="B1719" s="693"/>
      <c r="C1719" s="693"/>
      <c r="D1719" s="693"/>
      <c r="E1719" s="693"/>
      <c r="F1719" s="693"/>
      <c r="G1719" s="693"/>
      <c r="H1719" s="693"/>
      <c r="I1719" s="693"/>
      <c r="J1719" s="693"/>
      <c r="K1719" s="693"/>
      <c r="L1719" s="693"/>
      <c r="M1719" s="693"/>
      <c r="N1719" s="693"/>
      <c r="O1719" s="693"/>
      <c r="P1719" s="693"/>
      <c r="Q1719" s="693"/>
    </row>
    <row r="1720" spans="1:17" ht="13.5">
      <c r="A1720" s="693"/>
      <c r="B1720" s="693"/>
      <c r="C1720" s="693"/>
      <c r="D1720" s="693"/>
      <c r="E1720" s="693"/>
      <c r="F1720" s="693"/>
      <c r="G1720" s="693"/>
      <c r="H1720" s="693"/>
      <c r="I1720" s="693"/>
      <c r="J1720" s="693"/>
      <c r="K1720" s="693"/>
      <c r="L1720" s="693"/>
      <c r="M1720" s="693"/>
      <c r="N1720" s="693"/>
      <c r="O1720" s="693"/>
      <c r="P1720" s="693"/>
      <c r="Q1720" s="693"/>
    </row>
    <row r="1721" spans="1:17" ht="13.5">
      <c r="A1721" s="693"/>
      <c r="B1721" s="693"/>
      <c r="C1721" s="693"/>
      <c r="D1721" s="693"/>
      <c r="E1721" s="693"/>
      <c r="F1721" s="693"/>
      <c r="G1721" s="693"/>
      <c r="H1721" s="693"/>
      <c r="I1721" s="693"/>
      <c r="J1721" s="693"/>
      <c r="K1721" s="693"/>
      <c r="L1721" s="693"/>
      <c r="M1721" s="693"/>
      <c r="N1721" s="693"/>
      <c r="O1721" s="693"/>
      <c r="P1721" s="693"/>
      <c r="Q1721" s="693"/>
    </row>
    <row r="1722" spans="1:17" ht="13.5">
      <c r="A1722" s="693"/>
      <c r="B1722" s="693"/>
      <c r="C1722" s="693"/>
      <c r="D1722" s="693"/>
      <c r="E1722" s="693"/>
      <c r="F1722" s="693"/>
      <c r="G1722" s="693"/>
      <c r="H1722" s="693"/>
      <c r="I1722" s="693"/>
      <c r="J1722" s="693"/>
      <c r="K1722" s="693"/>
      <c r="L1722" s="693"/>
      <c r="M1722" s="693"/>
      <c r="N1722" s="693"/>
      <c r="O1722" s="693"/>
      <c r="P1722" s="693"/>
      <c r="Q1722" s="693"/>
    </row>
    <row r="1723" spans="1:17" ht="13.5">
      <c r="A1723" s="693"/>
      <c r="B1723" s="693"/>
      <c r="C1723" s="693"/>
      <c r="D1723" s="693"/>
      <c r="E1723" s="693"/>
      <c r="F1723" s="693"/>
      <c r="G1723" s="693"/>
      <c r="H1723" s="693"/>
      <c r="I1723" s="693"/>
      <c r="J1723" s="693"/>
      <c r="K1723" s="693"/>
      <c r="L1723" s="693"/>
      <c r="M1723" s="693"/>
      <c r="N1723" s="693"/>
      <c r="O1723" s="693"/>
      <c r="P1723" s="693"/>
      <c r="Q1723" s="693"/>
    </row>
    <row r="1724" spans="1:17" ht="13.5">
      <c r="A1724" s="693"/>
      <c r="B1724" s="693"/>
      <c r="C1724" s="693"/>
      <c r="D1724" s="693"/>
      <c r="E1724" s="693"/>
      <c r="F1724" s="693"/>
      <c r="G1724" s="693"/>
      <c r="H1724" s="693"/>
      <c r="I1724" s="693"/>
      <c r="J1724" s="693"/>
      <c r="K1724" s="693"/>
      <c r="L1724" s="693"/>
      <c r="M1724" s="693"/>
      <c r="N1724" s="693"/>
      <c r="O1724" s="693"/>
      <c r="P1724" s="693"/>
      <c r="Q1724" s="693"/>
    </row>
    <row r="1725" spans="1:17" ht="13.5">
      <c r="A1725" s="693"/>
      <c r="B1725" s="693"/>
      <c r="C1725" s="693"/>
      <c r="D1725" s="693"/>
      <c r="E1725" s="693"/>
      <c r="F1725" s="693"/>
      <c r="G1725" s="693"/>
      <c r="H1725" s="693"/>
      <c r="I1725" s="693"/>
      <c r="J1725" s="693"/>
      <c r="K1725" s="693"/>
      <c r="L1725" s="693"/>
      <c r="M1725" s="693"/>
      <c r="N1725" s="693"/>
      <c r="O1725" s="693"/>
      <c r="P1725" s="693"/>
      <c r="Q1725" s="693"/>
    </row>
    <row r="1726" spans="1:17" ht="13.5">
      <c r="A1726" s="693"/>
      <c r="B1726" s="693"/>
      <c r="C1726" s="693"/>
      <c r="D1726" s="693"/>
      <c r="E1726" s="693"/>
      <c r="F1726" s="693"/>
      <c r="G1726" s="693"/>
      <c r="H1726" s="693"/>
      <c r="I1726" s="693"/>
      <c r="J1726" s="693"/>
      <c r="K1726" s="693"/>
      <c r="L1726" s="693"/>
      <c r="M1726" s="693"/>
      <c r="N1726" s="693"/>
      <c r="O1726" s="693"/>
      <c r="P1726" s="693"/>
      <c r="Q1726" s="693"/>
    </row>
    <row r="1727" spans="1:17" ht="13.5">
      <c r="A1727" s="693"/>
      <c r="B1727" s="693"/>
      <c r="C1727" s="693"/>
      <c r="D1727" s="693"/>
      <c r="E1727" s="693"/>
      <c r="F1727" s="693"/>
      <c r="G1727" s="693"/>
      <c r="H1727" s="693"/>
      <c r="I1727" s="693"/>
      <c r="J1727" s="693"/>
      <c r="K1727" s="693"/>
      <c r="L1727" s="693"/>
      <c r="M1727" s="693"/>
      <c r="N1727" s="693"/>
      <c r="O1727" s="693"/>
      <c r="P1727" s="693"/>
      <c r="Q1727" s="693"/>
    </row>
    <row r="1728" spans="1:17" ht="13.5">
      <c r="A1728" s="693"/>
      <c r="B1728" s="693"/>
      <c r="C1728" s="693"/>
      <c r="D1728" s="693"/>
      <c r="E1728" s="693"/>
      <c r="F1728" s="693"/>
      <c r="G1728" s="693"/>
      <c r="H1728" s="693"/>
      <c r="I1728" s="693"/>
      <c r="J1728" s="693"/>
      <c r="K1728" s="693"/>
      <c r="L1728" s="693"/>
      <c r="M1728" s="693"/>
      <c r="N1728" s="693"/>
      <c r="O1728" s="693"/>
      <c r="P1728" s="693"/>
      <c r="Q1728" s="693"/>
    </row>
    <row r="1729" spans="1:17" ht="13.5">
      <c r="A1729" s="693"/>
      <c r="B1729" s="693"/>
      <c r="C1729" s="693"/>
      <c r="D1729" s="693"/>
      <c r="E1729" s="693"/>
      <c r="F1729" s="693"/>
      <c r="G1729" s="693"/>
      <c r="H1729" s="693"/>
      <c r="I1729" s="693"/>
      <c r="J1729" s="693"/>
      <c r="K1729" s="693"/>
      <c r="L1729" s="693"/>
      <c r="M1729" s="693"/>
      <c r="N1729" s="693"/>
      <c r="O1729" s="693"/>
      <c r="P1729" s="693"/>
      <c r="Q1729" s="693"/>
    </row>
    <row r="1730" spans="1:17" ht="13.5">
      <c r="A1730" s="693"/>
      <c r="B1730" s="693"/>
      <c r="C1730" s="693"/>
      <c r="D1730" s="693"/>
      <c r="E1730" s="693"/>
      <c r="F1730" s="693"/>
      <c r="G1730" s="693"/>
      <c r="H1730" s="693"/>
      <c r="I1730" s="693"/>
      <c r="J1730" s="693"/>
      <c r="K1730" s="693"/>
      <c r="L1730" s="693"/>
      <c r="M1730" s="693"/>
      <c r="N1730" s="693"/>
      <c r="O1730" s="693"/>
      <c r="P1730" s="693"/>
      <c r="Q1730" s="693"/>
    </row>
    <row r="1731" spans="1:17" ht="13.5">
      <c r="A1731" s="693"/>
      <c r="B1731" s="693"/>
      <c r="C1731" s="693"/>
      <c r="D1731" s="693"/>
      <c r="E1731" s="693"/>
      <c r="F1731" s="693"/>
      <c r="G1731" s="693"/>
      <c r="H1731" s="693"/>
      <c r="I1731" s="693"/>
      <c r="J1731" s="693"/>
      <c r="K1731" s="693"/>
      <c r="L1731" s="693"/>
      <c r="M1731" s="693"/>
      <c r="N1731" s="693"/>
      <c r="O1731" s="693"/>
      <c r="P1731" s="693"/>
      <c r="Q1731" s="693"/>
    </row>
    <row r="1732" spans="1:17" ht="13.5">
      <c r="A1732" s="693"/>
      <c r="B1732" s="693"/>
      <c r="C1732" s="693"/>
      <c r="D1732" s="693"/>
      <c r="E1732" s="693"/>
      <c r="F1732" s="693"/>
      <c r="G1732" s="693"/>
      <c r="H1732" s="693"/>
      <c r="I1732" s="693"/>
      <c r="J1732" s="693"/>
      <c r="K1732" s="693"/>
      <c r="L1732" s="693"/>
      <c r="M1732" s="693"/>
      <c r="N1732" s="693"/>
      <c r="O1732" s="693"/>
      <c r="P1732" s="693"/>
      <c r="Q1732" s="693"/>
    </row>
    <row r="1733" spans="1:17" ht="13.5">
      <c r="A1733" s="693"/>
      <c r="B1733" s="693"/>
      <c r="C1733" s="693"/>
      <c r="D1733" s="693"/>
      <c r="E1733" s="693"/>
      <c r="F1733" s="693"/>
      <c r="G1733" s="693"/>
      <c r="H1733" s="693"/>
      <c r="I1733" s="693"/>
      <c r="J1733" s="693"/>
      <c r="K1733" s="693"/>
      <c r="L1733" s="693"/>
      <c r="M1733" s="693"/>
      <c r="N1733" s="693"/>
      <c r="O1733" s="693"/>
      <c r="P1733" s="693"/>
      <c r="Q1733" s="693"/>
    </row>
    <row r="1734" spans="1:17" ht="13.5">
      <c r="A1734" s="693"/>
      <c r="B1734" s="693"/>
      <c r="C1734" s="693"/>
      <c r="D1734" s="693"/>
      <c r="E1734" s="693"/>
      <c r="F1734" s="693"/>
      <c r="G1734" s="693"/>
      <c r="H1734" s="693"/>
      <c r="I1734" s="693"/>
      <c r="J1734" s="693"/>
      <c r="K1734" s="693"/>
      <c r="L1734" s="693"/>
      <c r="M1734" s="693"/>
      <c r="N1734" s="693"/>
      <c r="O1734" s="693"/>
      <c r="P1734" s="693"/>
      <c r="Q1734" s="693"/>
    </row>
    <row r="1735" spans="1:17" ht="13.5">
      <c r="A1735" s="693"/>
      <c r="B1735" s="693"/>
      <c r="C1735" s="693"/>
      <c r="D1735" s="693"/>
      <c r="E1735" s="693"/>
      <c r="F1735" s="693"/>
      <c r="G1735" s="693"/>
      <c r="H1735" s="693"/>
      <c r="I1735" s="693"/>
      <c r="J1735" s="693"/>
      <c r="K1735" s="693"/>
      <c r="L1735" s="693"/>
      <c r="M1735" s="693"/>
      <c r="N1735" s="693"/>
      <c r="O1735" s="693"/>
      <c r="P1735" s="693"/>
      <c r="Q1735" s="693"/>
    </row>
    <row r="1736" spans="1:17" ht="13.5">
      <c r="A1736" s="693"/>
      <c r="B1736" s="693"/>
      <c r="C1736" s="693"/>
      <c r="D1736" s="693"/>
      <c r="E1736" s="693"/>
      <c r="F1736" s="693"/>
      <c r="G1736" s="693"/>
      <c r="H1736" s="693"/>
      <c r="I1736" s="693"/>
      <c r="J1736" s="693"/>
      <c r="K1736" s="693"/>
      <c r="L1736" s="693"/>
      <c r="M1736" s="693"/>
      <c r="N1736" s="693"/>
      <c r="O1736" s="693"/>
      <c r="P1736" s="693"/>
      <c r="Q1736" s="693"/>
    </row>
    <row r="1737" spans="1:17" ht="13.5">
      <c r="A1737" s="693"/>
      <c r="B1737" s="693"/>
      <c r="C1737" s="693"/>
      <c r="D1737" s="693"/>
      <c r="E1737" s="693"/>
      <c r="F1737" s="693"/>
      <c r="G1737" s="693"/>
      <c r="H1737" s="693"/>
      <c r="I1737" s="693"/>
      <c r="J1737" s="693"/>
      <c r="K1737" s="693"/>
      <c r="L1737" s="693"/>
      <c r="M1737" s="693"/>
      <c r="N1737" s="693"/>
      <c r="O1737" s="693"/>
      <c r="P1737" s="693"/>
      <c r="Q1737" s="693"/>
    </row>
    <row r="1738" spans="1:17" ht="13.5">
      <c r="A1738" s="693"/>
      <c r="B1738" s="693"/>
      <c r="C1738" s="693"/>
      <c r="D1738" s="693"/>
      <c r="E1738" s="693"/>
      <c r="F1738" s="693"/>
      <c r="G1738" s="693"/>
      <c r="H1738" s="693"/>
      <c r="I1738" s="693"/>
      <c r="J1738" s="693"/>
      <c r="K1738" s="693"/>
      <c r="L1738" s="693"/>
      <c r="M1738" s="693"/>
      <c r="N1738" s="693"/>
      <c r="O1738" s="693"/>
      <c r="P1738" s="693"/>
      <c r="Q1738" s="693"/>
    </row>
    <row r="1739" spans="1:17" ht="13.5">
      <c r="A1739" s="693"/>
      <c r="B1739" s="693"/>
      <c r="C1739" s="693"/>
      <c r="D1739" s="693"/>
      <c r="E1739" s="693"/>
      <c r="F1739" s="693"/>
      <c r="G1739" s="693"/>
      <c r="H1739" s="693"/>
      <c r="I1739" s="693"/>
      <c r="J1739" s="693"/>
      <c r="K1739" s="693"/>
      <c r="L1739" s="693"/>
      <c r="M1739" s="693"/>
      <c r="N1739" s="693"/>
      <c r="O1739" s="693"/>
      <c r="P1739" s="693"/>
      <c r="Q1739" s="693"/>
    </row>
    <row r="1740" spans="1:17" ht="13.5">
      <c r="A1740" s="693"/>
      <c r="B1740" s="693"/>
      <c r="C1740" s="693"/>
      <c r="D1740" s="693"/>
      <c r="E1740" s="693"/>
      <c r="F1740" s="693"/>
      <c r="G1740" s="693"/>
      <c r="H1740" s="693"/>
      <c r="I1740" s="693"/>
      <c r="J1740" s="693"/>
      <c r="K1740" s="693"/>
      <c r="L1740" s="693"/>
      <c r="M1740" s="693"/>
      <c r="N1740" s="693"/>
      <c r="O1740" s="693"/>
      <c r="P1740" s="693"/>
      <c r="Q1740" s="693"/>
    </row>
    <row r="1741" spans="1:17" ht="13.5">
      <c r="A1741" s="693"/>
      <c r="B1741" s="693"/>
      <c r="C1741" s="693"/>
      <c r="D1741" s="693"/>
      <c r="E1741" s="693"/>
      <c r="F1741" s="693"/>
      <c r="G1741" s="693"/>
      <c r="H1741" s="693"/>
      <c r="I1741" s="693"/>
      <c r="J1741" s="693"/>
      <c r="K1741" s="693"/>
      <c r="L1741" s="693"/>
      <c r="M1741" s="693"/>
      <c r="N1741" s="693"/>
      <c r="O1741" s="693"/>
      <c r="P1741" s="693"/>
      <c r="Q1741" s="693"/>
    </row>
    <row r="1742" spans="1:17" ht="13.5">
      <c r="A1742" s="693"/>
      <c r="B1742" s="693"/>
      <c r="C1742" s="693"/>
      <c r="D1742" s="693"/>
      <c r="E1742" s="693"/>
      <c r="F1742" s="693"/>
      <c r="G1742" s="693"/>
      <c r="H1742" s="693"/>
      <c r="I1742" s="693"/>
      <c r="J1742" s="693"/>
      <c r="K1742" s="693"/>
      <c r="L1742" s="693"/>
      <c r="M1742" s="693"/>
      <c r="N1742" s="693"/>
      <c r="O1742" s="693"/>
      <c r="P1742" s="693"/>
      <c r="Q1742" s="693"/>
    </row>
    <row r="1743" spans="1:17" ht="13.5">
      <c r="A1743" s="693"/>
      <c r="B1743" s="693"/>
      <c r="C1743" s="693"/>
      <c r="D1743" s="693"/>
      <c r="E1743" s="693"/>
      <c r="F1743" s="693"/>
      <c r="G1743" s="693"/>
      <c r="H1743" s="693"/>
      <c r="I1743" s="693"/>
      <c r="J1743" s="693"/>
      <c r="K1743" s="693"/>
      <c r="L1743" s="693"/>
      <c r="M1743" s="693"/>
      <c r="N1743" s="693"/>
      <c r="O1743" s="693"/>
      <c r="P1743" s="693"/>
      <c r="Q1743" s="693"/>
    </row>
    <row r="1744" spans="1:17" ht="13.5">
      <c r="A1744" s="693"/>
      <c r="B1744" s="693"/>
      <c r="C1744" s="693"/>
      <c r="D1744" s="693"/>
      <c r="E1744" s="693"/>
      <c r="F1744" s="693"/>
      <c r="G1744" s="693"/>
      <c r="H1744" s="693"/>
      <c r="I1744" s="693"/>
      <c r="J1744" s="693"/>
      <c r="K1744" s="693"/>
      <c r="L1744" s="693"/>
      <c r="M1744" s="693"/>
      <c r="N1744" s="693"/>
      <c r="O1744" s="693"/>
      <c r="P1744" s="693"/>
      <c r="Q1744" s="693"/>
    </row>
    <row r="1745" spans="1:17" ht="13.5">
      <c r="A1745" s="693"/>
      <c r="B1745" s="693"/>
      <c r="C1745" s="693"/>
      <c r="D1745" s="693"/>
      <c r="E1745" s="693"/>
      <c r="F1745" s="693"/>
      <c r="G1745" s="693"/>
      <c r="H1745" s="693"/>
      <c r="I1745" s="693"/>
      <c r="J1745" s="693"/>
      <c r="K1745" s="693"/>
      <c r="L1745" s="693"/>
      <c r="M1745" s="693"/>
      <c r="N1745" s="693"/>
      <c r="O1745" s="693"/>
      <c r="P1745" s="693"/>
      <c r="Q1745" s="693"/>
    </row>
    <row r="1746" spans="1:17" ht="13.5">
      <c r="A1746" s="693"/>
      <c r="B1746" s="693"/>
      <c r="C1746" s="693"/>
      <c r="D1746" s="693"/>
      <c r="E1746" s="693"/>
      <c r="F1746" s="693"/>
      <c r="G1746" s="693"/>
      <c r="H1746" s="693"/>
      <c r="I1746" s="693"/>
      <c r="J1746" s="693"/>
      <c r="K1746" s="693"/>
      <c r="L1746" s="693"/>
      <c r="M1746" s="693"/>
      <c r="N1746" s="693"/>
      <c r="O1746" s="693"/>
      <c r="P1746" s="693"/>
      <c r="Q1746" s="693"/>
    </row>
    <row r="1747" spans="1:17" ht="13.5">
      <c r="A1747" s="693"/>
      <c r="B1747" s="693"/>
      <c r="C1747" s="693"/>
      <c r="D1747" s="693"/>
      <c r="E1747" s="693"/>
      <c r="F1747" s="693"/>
      <c r="G1747" s="693"/>
      <c r="H1747" s="693"/>
      <c r="I1747" s="693"/>
      <c r="J1747" s="693"/>
      <c r="K1747" s="693"/>
      <c r="L1747" s="693"/>
      <c r="M1747" s="693"/>
      <c r="N1747" s="693"/>
      <c r="O1747" s="693"/>
      <c r="P1747" s="693"/>
      <c r="Q1747" s="693"/>
    </row>
    <row r="1748" spans="1:17" ht="13.5">
      <c r="A1748" s="693"/>
      <c r="B1748" s="693"/>
      <c r="C1748" s="693"/>
      <c r="D1748" s="693"/>
      <c r="E1748" s="693"/>
      <c r="F1748" s="693"/>
      <c r="G1748" s="693"/>
      <c r="H1748" s="693"/>
      <c r="I1748" s="693"/>
      <c r="J1748" s="693"/>
      <c r="K1748" s="693"/>
      <c r="L1748" s="693"/>
      <c r="M1748" s="693"/>
      <c r="N1748" s="693"/>
      <c r="O1748" s="693"/>
      <c r="P1748" s="693"/>
      <c r="Q1748" s="693"/>
    </row>
    <row r="1749" spans="1:17" ht="13.5">
      <c r="A1749" s="693"/>
      <c r="B1749" s="693"/>
      <c r="C1749" s="693"/>
      <c r="D1749" s="693"/>
      <c r="E1749" s="693"/>
      <c r="F1749" s="693"/>
      <c r="G1749" s="693"/>
      <c r="H1749" s="693"/>
      <c r="I1749" s="693"/>
      <c r="J1749" s="693"/>
      <c r="K1749" s="693"/>
      <c r="L1749" s="693"/>
      <c r="M1749" s="693"/>
      <c r="N1749" s="693"/>
      <c r="O1749" s="693"/>
      <c r="P1749" s="693"/>
      <c r="Q1749" s="693"/>
    </row>
    <row r="1750" spans="1:17" ht="13.5">
      <c r="A1750" s="693"/>
      <c r="B1750" s="693"/>
      <c r="C1750" s="693"/>
      <c r="D1750" s="693"/>
      <c r="E1750" s="693"/>
      <c r="F1750" s="693"/>
      <c r="G1750" s="693"/>
      <c r="H1750" s="693"/>
      <c r="I1750" s="693"/>
      <c r="J1750" s="693"/>
      <c r="K1750" s="693"/>
      <c r="L1750" s="693"/>
      <c r="M1750" s="693"/>
      <c r="N1750" s="693"/>
      <c r="O1750" s="693"/>
      <c r="P1750" s="693"/>
      <c r="Q1750" s="693"/>
    </row>
    <row r="1751" spans="1:17" ht="13.5">
      <c r="A1751" s="693"/>
      <c r="B1751" s="693"/>
      <c r="C1751" s="693"/>
      <c r="D1751" s="693"/>
      <c r="E1751" s="693"/>
      <c r="F1751" s="693"/>
      <c r="G1751" s="693"/>
      <c r="H1751" s="693"/>
      <c r="I1751" s="693"/>
      <c r="J1751" s="693"/>
      <c r="K1751" s="693"/>
      <c r="L1751" s="693"/>
      <c r="M1751" s="693"/>
      <c r="N1751" s="693"/>
      <c r="O1751" s="693"/>
      <c r="P1751" s="693"/>
      <c r="Q1751" s="693"/>
    </row>
    <row r="1752" spans="1:17" ht="13.5">
      <c r="A1752" s="693"/>
      <c r="B1752" s="693"/>
      <c r="C1752" s="693"/>
      <c r="D1752" s="693"/>
      <c r="E1752" s="693"/>
      <c r="F1752" s="693"/>
      <c r="G1752" s="693"/>
      <c r="H1752" s="693"/>
      <c r="I1752" s="693"/>
      <c r="J1752" s="693"/>
      <c r="K1752" s="693"/>
      <c r="L1752" s="693"/>
      <c r="M1752" s="693"/>
      <c r="N1752" s="693"/>
      <c r="O1752" s="693"/>
      <c r="P1752" s="693"/>
      <c r="Q1752" s="693"/>
    </row>
    <row r="1753" spans="1:17" ht="13.5">
      <c r="A1753" s="693"/>
      <c r="B1753" s="693"/>
      <c r="C1753" s="693"/>
      <c r="D1753" s="693"/>
      <c r="E1753" s="693"/>
      <c r="F1753" s="693"/>
      <c r="G1753" s="693"/>
      <c r="H1753" s="693"/>
      <c r="I1753" s="693"/>
      <c r="J1753" s="693"/>
      <c r="K1753" s="693"/>
      <c r="L1753" s="693"/>
      <c r="M1753" s="693"/>
      <c r="N1753" s="693"/>
      <c r="O1753" s="693"/>
      <c r="P1753" s="693"/>
      <c r="Q1753" s="693"/>
    </row>
    <row r="1754" spans="1:17" ht="13.5">
      <c r="A1754" s="693"/>
      <c r="B1754" s="693"/>
      <c r="C1754" s="693"/>
      <c r="D1754" s="693"/>
      <c r="E1754" s="693"/>
      <c r="F1754" s="693"/>
      <c r="G1754" s="693"/>
      <c r="H1754" s="693"/>
      <c r="I1754" s="693"/>
      <c r="J1754" s="693"/>
      <c r="K1754" s="693"/>
      <c r="L1754" s="693"/>
      <c r="M1754" s="693"/>
      <c r="N1754" s="693"/>
      <c r="O1754" s="693"/>
      <c r="P1754" s="693"/>
      <c r="Q1754" s="693"/>
    </row>
    <row r="1755" spans="1:17" ht="13.5">
      <c r="A1755" s="693"/>
      <c r="B1755" s="693"/>
      <c r="C1755" s="693"/>
      <c r="D1755" s="693"/>
      <c r="E1755" s="693"/>
      <c r="F1755" s="693"/>
      <c r="G1755" s="693"/>
      <c r="H1755" s="693"/>
      <c r="I1755" s="693"/>
      <c r="J1755" s="693"/>
      <c r="K1755" s="693"/>
      <c r="L1755" s="693"/>
      <c r="M1755" s="693"/>
      <c r="N1755" s="693"/>
      <c r="O1755" s="693"/>
      <c r="P1755" s="693"/>
      <c r="Q1755" s="693"/>
    </row>
    <row r="1756" spans="1:17" ht="13.5">
      <c r="A1756" s="693"/>
      <c r="B1756" s="693"/>
      <c r="C1756" s="693"/>
      <c r="D1756" s="693"/>
      <c r="E1756" s="693"/>
      <c r="F1756" s="693"/>
      <c r="G1756" s="693"/>
      <c r="H1756" s="693"/>
      <c r="I1756" s="693"/>
      <c r="J1756" s="693"/>
      <c r="K1756" s="693"/>
      <c r="L1756" s="693"/>
      <c r="M1756" s="693"/>
      <c r="N1756" s="693"/>
      <c r="O1756" s="693"/>
      <c r="P1756" s="693"/>
      <c r="Q1756" s="693"/>
    </row>
    <row r="1757" spans="1:17" ht="13.5">
      <c r="A1757" s="693"/>
      <c r="B1757" s="693"/>
      <c r="C1757" s="693"/>
      <c r="D1757" s="693"/>
      <c r="E1757" s="693"/>
      <c r="F1757" s="693"/>
      <c r="G1757" s="693"/>
      <c r="H1757" s="693"/>
      <c r="I1757" s="693"/>
      <c r="J1757" s="693"/>
      <c r="K1757" s="693"/>
      <c r="L1757" s="693"/>
      <c r="M1757" s="693"/>
      <c r="N1757" s="693"/>
      <c r="O1757" s="693"/>
      <c r="P1757" s="693"/>
      <c r="Q1757" s="693"/>
    </row>
    <row r="1758" spans="1:17" ht="13.5">
      <c r="A1758" s="693"/>
      <c r="B1758" s="693"/>
      <c r="C1758" s="693"/>
      <c r="D1758" s="693"/>
      <c r="E1758" s="693"/>
      <c r="F1758" s="693"/>
      <c r="G1758" s="693"/>
      <c r="H1758" s="693"/>
      <c r="I1758" s="693"/>
      <c r="J1758" s="693"/>
      <c r="K1758" s="693"/>
      <c r="L1758" s="693"/>
      <c r="M1758" s="693"/>
      <c r="N1758" s="693"/>
      <c r="O1758" s="693"/>
      <c r="P1758" s="693"/>
      <c r="Q1758" s="693"/>
    </row>
    <row r="1759" spans="1:17" ht="13.5">
      <c r="A1759" s="693"/>
      <c r="B1759" s="693"/>
      <c r="C1759" s="693"/>
      <c r="D1759" s="693"/>
      <c r="E1759" s="693"/>
      <c r="F1759" s="693"/>
      <c r="G1759" s="693"/>
      <c r="H1759" s="693"/>
      <c r="I1759" s="693"/>
      <c r="J1759" s="693"/>
      <c r="K1759" s="693"/>
      <c r="L1759" s="693"/>
      <c r="M1759" s="693"/>
      <c r="N1759" s="693"/>
      <c r="O1759" s="693"/>
      <c r="P1759" s="693"/>
      <c r="Q1759" s="693"/>
    </row>
    <row r="1760" spans="1:17" ht="13.5">
      <c r="A1760" s="693"/>
      <c r="B1760" s="693"/>
      <c r="C1760" s="693"/>
      <c r="D1760" s="693"/>
      <c r="E1760" s="693"/>
      <c r="F1760" s="693"/>
      <c r="G1760" s="693"/>
      <c r="H1760" s="693"/>
      <c r="I1760" s="693"/>
      <c r="J1760" s="693"/>
      <c r="K1760" s="693"/>
      <c r="L1760" s="693"/>
      <c r="M1760" s="693"/>
      <c r="N1760" s="693"/>
      <c r="O1760" s="693"/>
      <c r="P1760" s="693"/>
      <c r="Q1760" s="693"/>
    </row>
    <row r="1761" spans="1:17" ht="13.5">
      <c r="A1761" s="693"/>
      <c r="B1761" s="693"/>
      <c r="C1761" s="693"/>
      <c r="D1761" s="693"/>
      <c r="E1761" s="693"/>
      <c r="F1761" s="693"/>
      <c r="G1761" s="693"/>
      <c r="H1761" s="693"/>
      <c r="I1761" s="693"/>
      <c r="J1761" s="693"/>
      <c r="K1761" s="693"/>
      <c r="L1761" s="693"/>
      <c r="M1761" s="693"/>
      <c r="N1761" s="693"/>
      <c r="O1761" s="693"/>
      <c r="P1761" s="693"/>
      <c r="Q1761" s="693"/>
    </row>
    <row r="1762" spans="1:17" ht="13.5">
      <c r="A1762" s="693"/>
      <c r="B1762" s="693"/>
      <c r="C1762" s="693"/>
      <c r="D1762" s="693"/>
      <c r="E1762" s="693"/>
      <c r="F1762" s="693"/>
      <c r="G1762" s="693"/>
      <c r="H1762" s="693"/>
      <c r="I1762" s="693"/>
      <c r="J1762" s="693"/>
      <c r="K1762" s="693"/>
      <c r="L1762" s="693"/>
      <c r="M1762" s="693"/>
      <c r="N1762" s="693"/>
      <c r="O1762" s="693"/>
      <c r="P1762" s="693"/>
      <c r="Q1762" s="693"/>
    </row>
    <row r="1763" spans="1:17" ht="13.5">
      <c r="A1763" s="693"/>
      <c r="B1763" s="693"/>
      <c r="C1763" s="693"/>
      <c r="D1763" s="693"/>
      <c r="E1763" s="693"/>
      <c r="F1763" s="693"/>
      <c r="G1763" s="693"/>
      <c r="H1763" s="693"/>
      <c r="I1763" s="693"/>
      <c r="J1763" s="693"/>
      <c r="K1763" s="693"/>
      <c r="L1763" s="693"/>
      <c r="M1763" s="693"/>
      <c r="N1763" s="693"/>
      <c r="O1763" s="693"/>
      <c r="P1763" s="693"/>
      <c r="Q1763" s="693"/>
    </row>
    <row r="1764" spans="1:17" ht="13.5">
      <c r="A1764" s="693"/>
      <c r="B1764" s="693"/>
      <c r="C1764" s="693"/>
      <c r="D1764" s="693"/>
      <c r="E1764" s="693"/>
      <c r="F1764" s="693"/>
      <c r="G1764" s="693"/>
      <c r="H1764" s="693"/>
      <c r="I1764" s="693"/>
      <c r="J1764" s="693"/>
      <c r="K1764" s="693"/>
      <c r="L1764" s="693"/>
      <c r="M1764" s="693"/>
      <c r="N1764" s="693"/>
      <c r="O1764" s="693"/>
      <c r="P1764" s="693"/>
      <c r="Q1764" s="693"/>
    </row>
    <row r="1765" spans="1:17" ht="13.5">
      <c r="A1765" s="693"/>
      <c r="B1765" s="693"/>
      <c r="C1765" s="693"/>
      <c r="D1765" s="693"/>
      <c r="E1765" s="693"/>
      <c r="F1765" s="693"/>
      <c r="G1765" s="693"/>
      <c r="H1765" s="693"/>
      <c r="I1765" s="693"/>
      <c r="J1765" s="693"/>
      <c r="K1765" s="693"/>
      <c r="L1765" s="693"/>
      <c r="M1765" s="693"/>
      <c r="N1765" s="693"/>
      <c r="O1765" s="693"/>
      <c r="P1765" s="693"/>
      <c r="Q1765" s="693"/>
    </row>
    <row r="1766" spans="1:17" ht="13.5">
      <c r="A1766" s="693"/>
      <c r="B1766" s="693"/>
      <c r="C1766" s="693"/>
      <c r="D1766" s="693"/>
      <c r="E1766" s="693"/>
      <c r="F1766" s="693"/>
      <c r="G1766" s="693"/>
      <c r="H1766" s="693"/>
      <c r="I1766" s="693"/>
      <c r="J1766" s="693"/>
      <c r="K1766" s="693"/>
      <c r="L1766" s="693"/>
      <c r="M1766" s="693"/>
      <c r="N1766" s="693"/>
      <c r="O1766" s="693"/>
      <c r="P1766" s="693"/>
      <c r="Q1766" s="693"/>
    </row>
    <row r="1767" spans="1:17" ht="13.5">
      <c r="A1767" s="693"/>
      <c r="B1767" s="693"/>
      <c r="C1767" s="693"/>
      <c r="D1767" s="693"/>
      <c r="E1767" s="693"/>
      <c r="F1767" s="693"/>
      <c r="G1767" s="693"/>
      <c r="H1767" s="693"/>
      <c r="I1767" s="693"/>
      <c r="J1767" s="693"/>
      <c r="K1767" s="693"/>
      <c r="L1767" s="693"/>
      <c r="M1767" s="693"/>
      <c r="N1767" s="693"/>
      <c r="O1767" s="693"/>
      <c r="P1767" s="693"/>
      <c r="Q1767" s="693"/>
    </row>
    <row r="1768" spans="1:17" ht="13.5">
      <c r="A1768" s="693"/>
      <c r="B1768" s="693"/>
      <c r="C1768" s="693"/>
      <c r="D1768" s="693"/>
      <c r="E1768" s="693"/>
      <c r="F1768" s="693"/>
      <c r="G1768" s="693"/>
      <c r="H1768" s="693"/>
      <c r="I1768" s="693"/>
      <c r="J1768" s="693"/>
      <c r="K1768" s="693"/>
      <c r="L1768" s="693"/>
      <c r="M1768" s="693"/>
      <c r="N1768" s="693"/>
      <c r="O1768" s="693"/>
      <c r="P1768" s="693"/>
      <c r="Q1768" s="693"/>
    </row>
    <row r="1769" spans="1:17" ht="13.5">
      <c r="A1769" s="693"/>
      <c r="B1769" s="693"/>
      <c r="C1769" s="693"/>
      <c r="D1769" s="693"/>
      <c r="E1769" s="693"/>
      <c r="F1769" s="693"/>
      <c r="G1769" s="693"/>
      <c r="H1769" s="693"/>
      <c r="I1769" s="693"/>
      <c r="J1769" s="693"/>
      <c r="K1769" s="693"/>
      <c r="L1769" s="693"/>
      <c r="M1769" s="693"/>
      <c r="N1769" s="693"/>
      <c r="O1769" s="693"/>
      <c r="P1769" s="693"/>
      <c r="Q1769" s="693"/>
    </row>
    <row r="1770" spans="1:17" ht="13.5">
      <c r="A1770" s="693"/>
      <c r="B1770" s="693"/>
      <c r="C1770" s="693"/>
      <c r="D1770" s="693"/>
      <c r="E1770" s="693"/>
      <c r="F1770" s="693"/>
      <c r="G1770" s="693"/>
      <c r="H1770" s="693"/>
      <c r="I1770" s="693"/>
      <c r="J1770" s="693"/>
      <c r="K1770" s="693"/>
      <c r="L1770" s="693"/>
      <c r="M1770" s="693"/>
      <c r="N1770" s="693"/>
      <c r="O1770" s="693"/>
      <c r="P1770" s="693"/>
      <c r="Q1770" s="693"/>
    </row>
    <row r="1771" spans="1:17" ht="13.5">
      <c r="A1771" s="693"/>
      <c r="B1771" s="693"/>
      <c r="C1771" s="693"/>
      <c r="D1771" s="693"/>
      <c r="E1771" s="693"/>
      <c r="F1771" s="693"/>
      <c r="G1771" s="693"/>
      <c r="H1771" s="693"/>
      <c r="I1771" s="693"/>
      <c r="J1771" s="693"/>
      <c r="K1771" s="693"/>
      <c r="L1771" s="693"/>
      <c r="M1771" s="693"/>
      <c r="N1771" s="693"/>
      <c r="O1771" s="693"/>
      <c r="P1771" s="693"/>
      <c r="Q1771" s="693"/>
    </row>
    <row r="1772" spans="1:17" ht="13.5">
      <c r="A1772" s="693"/>
      <c r="B1772" s="693"/>
      <c r="C1772" s="693"/>
      <c r="D1772" s="693"/>
      <c r="E1772" s="693"/>
      <c r="F1772" s="693"/>
      <c r="G1772" s="693"/>
      <c r="H1772" s="693"/>
      <c r="I1772" s="693"/>
      <c r="J1772" s="693"/>
      <c r="K1772" s="693"/>
      <c r="L1772" s="693"/>
      <c r="M1772" s="693"/>
      <c r="N1772" s="693"/>
      <c r="O1772" s="693"/>
      <c r="P1772" s="693"/>
      <c r="Q1772" s="693"/>
    </row>
    <row r="1773" spans="1:17" ht="13.5">
      <c r="A1773" s="693"/>
      <c r="B1773" s="693"/>
      <c r="C1773" s="693"/>
      <c r="D1773" s="693"/>
      <c r="E1773" s="693"/>
      <c r="F1773" s="693"/>
      <c r="G1773" s="693"/>
      <c r="H1773" s="693"/>
      <c r="I1773" s="693"/>
      <c r="J1773" s="693"/>
      <c r="K1773" s="693"/>
      <c r="L1773" s="693"/>
      <c r="M1773" s="693"/>
      <c r="N1773" s="693"/>
      <c r="O1773" s="693"/>
      <c r="P1773" s="693"/>
      <c r="Q1773" s="693"/>
    </row>
    <row r="1774" spans="1:17" ht="13.5">
      <c r="A1774" s="693"/>
      <c r="B1774" s="693"/>
      <c r="C1774" s="693"/>
      <c r="D1774" s="693"/>
      <c r="E1774" s="693"/>
      <c r="F1774" s="693"/>
      <c r="G1774" s="693"/>
      <c r="H1774" s="693"/>
      <c r="I1774" s="693"/>
      <c r="J1774" s="693"/>
      <c r="K1774" s="693"/>
      <c r="L1774" s="693"/>
      <c r="M1774" s="693"/>
      <c r="N1774" s="693"/>
      <c r="O1774" s="693"/>
      <c r="P1774" s="693"/>
      <c r="Q1774" s="693"/>
    </row>
    <row r="1775" spans="1:17" ht="13.5">
      <c r="A1775" s="693"/>
      <c r="B1775" s="693"/>
      <c r="C1775" s="693"/>
      <c r="D1775" s="693"/>
      <c r="E1775" s="693"/>
      <c r="F1775" s="693"/>
      <c r="G1775" s="693"/>
      <c r="H1775" s="693"/>
      <c r="I1775" s="693"/>
      <c r="J1775" s="693"/>
      <c r="K1775" s="693"/>
      <c r="L1775" s="693"/>
      <c r="M1775" s="693"/>
      <c r="N1775" s="693"/>
      <c r="O1775" s="693"/>
      <c r="P1775" s="693"/>
      <c r="Q1775" s="693"/>
    </row>
    <row r="1776" spans="1:17" ht="13.5">
      <c r="A1776" s="693"/>
      <c r="B1776" s="693"/>
      <c r="C1776" s="693"/>
      <c r="D1776" s="693"/>
      <c r="E1776" s="693"/>
      <c r="F1776" s="693"/>
      <c r="G1776" s="693"/>
      <c r="H1776" s="693"/>
      <c r="I1776" s="693"/>
      <c r="J1776" s="693"/>
      <c r="K1776" s="693"/>
      <c r="L1776" s="693"/>
      <c r="M1776" s="693"/>
      <c r="N1776" s="693"/>
      <c r="O1776" s="693"/>
      <c r="P1776" s="693"/>
      <c r="Q1776" s="693"/>
    </row>
    <row r="1777" spans="1:17" ht="13.5">
      <c r="A1777" s="693"/>
      <c r="B1777" s="693"/>
      <c r="C1777" s="693"/>
      <c r="D1777" s="693"/>
      <c r="E1777" s="693"/>
      <c r="F1777" s="693"/>
      <c r="G1777" s="693"/>
      <c r="H1777" s="693"/>
      <c r="I1777" s="693"/>
      <c r="J1777" s="693"/>
      <c r="K1777" s="693"/>
      <c r="L1777" s="693"/>
      <c r="M1777" s="693"/>
      <c r="N1777" s="693"/>
      <c r="O1777" s="693"/>
      <c r="P1777" s="693"/>
      <c r="Q1777" s="693"/>
    </row>
    <row r="1778" spans="1:17" ht="13.5">
      <c r="A1778" s="693"/>
      <c r="B1778" s="693"/>
      <c r="C1778" s="693"/>
      <c r="D1778" s="693"/>
      <c r="E1778" s="693"/>
      <c r="F1778" s="693"/>
      <c r="G1778" s="693"/>
      <c r="H1778" s="693"/>
      <c r="I1778" s="693"/>
      <c r="J1778" s="693"/>
      <c r="K1778" s="693"/>
      <c r="L1778" s="693"/>
      <c r="M1778" s="693"/>
      <c r="N1778" s="693"/>
      <c r="O1778" s="693"/>
      <c r="P1778" s="693"/>
      <c r="Q1778" s="693"/>
    </row>
    <row r="1779" spans="1:17" ht="13.5">
      <c r="A1779" s="693"/>
      <c r="B1779" s="693"/>
      <c r="C1779" s="693"/>
      <c r="D1779" s="693"/>
      <c r="E1779" s="693"/>
      <c r="F1779" s="693"/>
      <c r="G1779" s="693"/>
      <c r="H1779" s="693"/>
      <c r="I1779" s="693"/>
      <c r="J1779" s="693"/>
      <c r="K1779" s="693"/>
      <c r="L1779" s="693"/>
      <c r="M1779" s="693"/>
      <c r="N1779" s="693"/>
      <c r="O1779" s="693"/>
      <c r="P1779" s="693"/>
      <c r="Q1779" s="693"/>
    </row>
    <row r="1780" spans="1:17" ht="13.5">
      <c r="A1780" s="693"/>
      <c r="B1780" s="693"/>
      <c r="C1780" s="693"/>
      <c r="D1780" s="693"/>
      <c r="E1780" s="693"/>
      <c r="F1780" s="693"/>
      <c r="G1780" s="693"/>
      <c r="H1780" s="693"/>
      <c r="I1780" s="693"/>
      <c r="J1780" s="693"/>
      <c r="K1780" s="693"/>
      <c r="L1780" s="693"/>
      <c r="M1780" s="693"/>
      <c r="N1780" s="693"/>
      <c r="O1780" s="693"/>
      <c r="P1780" s="693"/>
      <c r="Q1780" s="693"/>
    </row>
    <row r="1781" spans="1:17" ht="13.5">
      <c r="A1781" s="693"/>
      <c r="B1781" s="693"/>
      <c r="C1781" s="693"/>
      <c r="D1781" s="693"/>
      <c r="E1781" s="693"/>
      <c r="F1781" s="693"/>
      <c r="G1781" s="693"/>
      <c r="H1781" s="693"/>
      <c r="I1781" s="693"/>
      <c r="J1781" s="693"/>
      <c r="K1781" s="693"/>
      <c r="L1781" s="693"/>
      <c r="M1781" s="693"/>
      <c r="N1781" s="693"/>
      <c r="O1781" s="693"/>
      <c r="P1781" s="693"/>
      <c r="Q1781" s="693"/>
    </row>
    <row r="1782" spans="1:17" ht="13.5">
      <c r="A1782" s="693"/>
      <c r="B1782" s="693"/>
      <c r="C1782" s="693"/>
      <c r="D1782" s="693"/>
      <c r="E1782" s="693"/>
      <c r="F1782" s="693"/>
      <c r="G1782" s="693"/>
      <c r="H1782" s="693"/>
      <c r="I1782" s="693"/>
      <c r="J1782" s="693"/>
      <c r="K1782" s="693"/>
      <c r="L1782" s="693"/>
      <c r="M1782" s="693"/>
      <c r="N1782" s="693"/>
      <c r="O1782" s="693"/>
      <c r="P1782" s="693"/>
      <c r="Q1782" s="693"/>
    </row>
    <row r="1783" spans="1:17" ht="13.5">
      <c r="A1783" s="693"/>
      <c r="B1783" s="693"/>
      <c r="C1783" s="693"/>
      <c r="D1783" s="693"/>
      <c r="E1783" s="693"/>
      <c r="F1783" s="693"/>
      <c r="G1783" s="693"/>
      <c r="H1783" s="693"/>
      <c r="I1783" s="693"/>
      <c r="J1783" s="693"/>
      <c r="K1783" s="693"/>
      <c r="L1783" s="693"/>
      <c r="M1783" s="693"/>
      <c r="N1783" s="693"/>
      <c r="O1783" s="693"/>
      <c r="P1783" s="693"/>
      <c r="Q1783" s="693"/>
    </row>
    <row r="1784" spans="1:17" ht="13.5">
      <c r="A1784" s="693"/>
      <c r="B1784" s="693"/>
      <c r="C1784" s="693"/>
      <c r="D1784" s="693"/>
      <c r="E1784" s="693"/>
      <c r="F1784" s="693"/>
      <c r="G1784" s="693"/>
      <c r="H1784" s="693"/>
      <c r="I1784" s="693"/>
      <c r="J1784" s="693"/>
      <c r="K1784" s="693"/>
      <c r="L1784" s="693"/>
      <c r="M1784" s="693"/>
      <c r="N1784" s="693"/>
      <c r="O1784" s="693"/>
      <c r="P1784" s="693"/>
      <c r="Q1784" s="693"/>
    </row>
    <row r="1785" spans="1:17" ht="13.5">
      <c r="A1785" s="693"/>
      <c r="B1785" s="693"/>
      <c r="C1785" s="693"/>
      <c r="D1785" s="693"/>
      <c r="E1785" s="693"/>
      <c r="F1785" s="693"/>
      <c r="G1785" s="693"/>
      <c r="H1785" s="693"/>
      <c r="I1785" s="693"/>
      <c r="J1785" s="693"/>
      <c r="K1785" s="693"/>
      <c r="L1785" s="693"/>
      <c r="M1785" s="693"/>
      <c r="N1785" s="693"/>
      <c r="O1785" s="693"/>
      <c r="P1785" s="693"/>
      <c r="Q1785" s="693"/>
    </row>
    <row r="1786" spans="1:17" ht="13.5">
      <c r="A1786" s="693"/>
      <c r="B1786" s="693"/>
      <c r="C1786" s="693"/>
      <c r="D1786" s="693"/>
      <c r="E1786" s="693"/>
      <c r="F1786" s="693"/>
      <c r="G1786" s="693"/>
      <c r="H1786" s="693"/>
      <c r="I1786" s="693"/>
      <c r="J1786" s="693"/>
      <c r="K1786" s="693"/>
      <c r="L1786" s="693"/>
      <c r="M1786" s="693"/>
      <c r="N1786" s="693"/>
      <c r="O1786" s="693"/>
      <c r="P1786" s="693"/>
      <c r="Q1786" s="693"/>
    </row>
    <row r="1787" spans="1:17" ht="13.5">
      <c r="A1787" s="693"/>
      <c r="B1787" s="693"/>
      <c r="C1787" s="693"/>
      <c r="D1787" s="693"/>
      <c r="E1787" s="693"/>
      <c r="F1787" s="693"/>
      <c r="G1787" s="693"/>
      <c r="H1787" s="693"/>
      <c r="I1787" s="693"/>
      <c r="J1787" s="693"/>
      <c r="K1787" s="693"/>
      <c r="L1787" s="693"/>
      <c r="M1787" s="693"/>
      <c r="N1787" s="693"/>
      <c r="O1787" s="693"/>
      <c r="P1787" s="693"/>
      <c r="Q1787" s="693"/>
    </row>
    <row r="1788" spans="1:17" ht="13.5">
      <c r="A1788" s="693"/>
      <c r="B1788" s="693"/>
      <c r="C1788" s="693"/>
      <c r="D1788" s="693"/>
      <c r="E1788" s="693"/>
      <c r="F1788" s="693"/>
      <c r="G1788" s="693"/>
      <c r="H1788" s="693"/>
      <c r="I1788" s="693"/>
      <c r="J1788" s="693"/>
      <c r="K1788" s="693"/>
      <c r="L1788" s="693"/>
      <c r="M1788" s="693"/>
      <c r="N1788" s="693"/>
      <c r="O1788" s="693"/>
      <c r="P1788" s="693"/>
      <c r="Q1788" s="693"/>
    </row>
    <row r="1789" spans="1:17" ht="13.5">
      <c r="A1789" s="693"/>
      <c r="B1789" s="693"/>
      <c r="C1789" s="693"/>
      <c r="D1789" s="693"/>
      <c r="E1789" s="693"/>
      <c r="F1789" s="693"/>
      <c r="G1789" s="693"/>
      <c r="H1789" s="693"/>
      <c r="I1789" s="693"/>
      <c r="J1789" s="693"/>
      <c r="K1789" s="693"/>
      <c r="L1789" s="693"/>
      <c r="M1789" s="693"/>
      <c r="N1789" s="693"/>
      <c r="O1789" s="693"/>
      <c r="P1789" s="693"/>
      <c r="Q1789" s="693"/>
    </row>
    <row r="1790" spans="1:17" ht="13.5">
      <c r="A1790" s="693"/>
      <c r="B1790" s="693"/>
      <c r="C1790" s="693"/>
      <c r="D1790" s="693"/>
      <c r="E1790" s="693"/>
      <c r="F1790" s="693"/>
      <c r="G1790" s="693"/>
      <c r="H1790" s="693"/>
      <c r="I1790" s="693"/>
      <c r="J1790" s="693"/>
      <c r="K1790" s="693"/>
      <c r="L1790" s="693"/>
      <c r="M1790" s="693"/>
      <c r="N1790" s="693"/>
      <c r="O1790" s="693"/>
      <c r="P1790" s="693"/>
      <c r="Q1790" s="693"/>
    </row>
    <row r="1791" spans="1:17" ht="13.5">
      <c r="A1791" s="693"/>
      <c r="B1791" s="693"/>
      <c r="C1791" s="693"/>
      <c r="D1791" s="693"/>
      <c r="E1791" s="693"/>
      <c r="F1791" s="693"/>
      <c r="G1791" s="693"/>
      <c r="H1791" s="693"/>
      <c r="I1791" s="693"/>
      <c r="J1791" s="693"/>
      <c r="K1791" s="693"/>
      <c r="L1791" s="693"/>
      <c r="M1791" s="693"/>
      <c r="N1791" s="693"/>
      <c r="O1791" s="693"/>
      <c r="P1791" s="693"/>
      <c r="Q1791" s="693"/>
    </row>
    <row r="1792" spans="1:17" ht="13.5">
      <c r="A1792" s="693"/>
      <c r="B1792" s="693"/>
      <c r="C1792" s="693"/>
      <c r="D1792" s="693"/>
      <c r="E1792" s="693"/>
      <c r="F1792" s="693"/>
      <c r="G1792" s="693"/>
      <c r="H1792" s="693"/>
      <c r="I1792" s="693"/>
      <c r="J1792" s="693"/>
      <c r="K1792" s="693"/>
      <c r="L1792" s="693"/>
      <c r="M1792" s="693"/>
      <c r="N1792" s="693"/>
      <c r="O1792" s="693"/>
      <c r="P1792" s="693"/>
      <c r="Q1792" s="693"/>
    </row>
    <row r="1793" spans="1:17" ht="13.5">
      <c r="A1793" s="693"/>
      <c r="B1793" s="693"/>
      <c r="C1793" s="693"/>
      <c r="D1793" s="693"/>
      <c r="E1793" s="693"/>
      <c r="F1793" s="693"/>
      <c r="G1793" s="693"/>
      <c r="H1793" s="693"/>
      <c r="I1793" s="693"/>
      <c r="J1793" s="693"/>
      <c r="K1793" s="693"/>
      <c r="L1793" s="693"/>
      <c r="M1793" s="693"/>
      <c r="N1793" s="693"/>
      <c r="O1793" s="693"/>
      <c r="P1793" s="693"/>
      <c r="Q1793" s="693"/>
    </row>
    <row r="1794" spans="1:17" ht="13.5">
      <c r="A1794" s="693"/>
      <c r="B1794" s="693"/>
      <c r="C1794" s="693"/>
      <c r="D1794" s="693"/>
      <c r="E1794" s="693"/>
      <c r="F1794" s="693"/>
      <c r="G1794" s="693"/>
      <c r="H1794" s="693"/>
      <c r="I1794" s="693"/>
      <c r="J1794" s="693"/>
      <c r="K1794" s="693"/>
      <c r="L1794" s="693"/>
      <c r="M1794" s="693"/>
      <c r="N1794" s="693"/>
      <c r="O1794" s="693"/>
      <c r="P1794" s="693"/>
      <c r="Q1794" s="693"/>
    </row>
    <row r="1795" spans="1:17" ht="13.5">
      <c r="A1795" s="693"/>
      <c r="B1795" s="693"/>
      <c r="C1795" s="693"/>
      <c r="D1795" s="693"/>
      <c r="E1795" s="693"/>
      <c r="F1795" s="693"/>
      <c r="G1795" s="693"/>
      <c r="H1795" s="693"/>
      <c r="I1795" s="693"/>
      <c r="J1795" s="693"/>
      <c r="K1795" s="693"/>
      <c r="L1795" s="693"/>
      <c r="M1795" s="693"/>
      <c r="N1795" s="693"/>
      <c r="O1795" s="693"/>
      <c r="P1795" s="693"/>
      <c r="Q1795" s="693"/>
    </row>
    <row r="1796" spans="1:17" ht="13.5">
      <c r="A1796" s="693"/>
      <c r="B1796" s="693"/>
      <c r="C1796" s="693"/>
      <c r="D1796" s="693"/>
      <c r="E1796" s="693"/>
      <c r="F1796" s="693"/>
      <c r="G1796" s="693"/>
      <c r="H1796" s="693"/>
      <c r="I1796" s="693"/>
      <c r="J1796" s="693"/>
      <c r="K1796" s="693"/>
      <c r="L1796" s="693"/>
      <c r="M1796" s="693"/>
      <c r="N1796" s="693"/>
      <c r="O1796" s="693"/>
      <c r="P1796" s="693"/>
      <c r="Q1796" s="693"/>
    </row>
    <row r="1797" spans="1:17" ht="13.5">
      <c r="A1797" s="693"/>
      <c r="B1797" s="693"/>
      <c r="C1797" s="693"/>
      <c r="D1797" s="693"/>
      <c r="E1797" s="693"/>
      <c r="F1797" s="693"/>
      <c r="G1797" s="693"/>
      <c r="H1797" s="693"/>
      <c r="I1797" s="693"/>
      <c r="J1797" s="693"/>
      <c r="K1797" s="693"/>
      <c r="L1797" s="693"/>
      <c r="M1797" s="693"/>
      <c r="N1797" s="693"/>
      <c r="O1797" s="693"/>
      <c r="P1797" s="693"/>
      <c r="Q1797" s="693"/>
    </row>
    <row r="1798" spans="1:17" ht="13.5">
      <c r="A1798" s="693"/>
      <c r="B1798" s="693"/>
      <c r="C1798" s="693"/>
      <c r="D1798" s="693"/>
      <c r="E1798" s="693"/>
      <c r="F1798" s="693"/>
      <c r="G1798" s="693"/>
      <c r="H1798" s="693"/>
      <c r="I1798" s="693"/>
      <c r="J1798" s="693"/>
      <c r="K1798" s="693"/>
      <c r="L1798" s="693"/>
      <c r="M1798" s="693"/>
      <c r="N1798" s="693"/>
      <c r="O1798" s="693"/>
      <c r="P1798" s="693"/>
      <c r="Q1798" s="693"/>
    </row>
    <row r="1799" spans="1:17" ht="13.5">
      <c r="A1799" s="693"/>
      <c r="B1799" s="693"/>
      <c r="C1799" s="693"/>
      <c r="D1799" s="693"/>
      <c r="E1799" s="693"/>
      <c r="F1799" s="693"/>
      <c r="G1799" s="693"/>
      <c r="H1799" s="693"/>
      <c r="I1799" s="693"/>
      <c r="J1799" s="693"/>
      <c r="K1799" s="693"/>
      <c r="L1799" s="693"/>
      <c r="M1799" s="693"/>
      <c r="N1799" s="693"/>
      <c r="O1799" s="693"/>
      <c r="P1799" s="693"/>
      <c r="Q1799" s="693"/>
    </row>
    <row r="1800" spans="1:17" ht="13.5">
      <c r="A1800" s="693"/>
      <c r="B1800" s="693"/>
      <c r="C1800" s="693"/>
      <c r="D1800" s="693"/>
      <c r="E1800" s="693"/>
      <c r="F1800" s="693"/>
      <c r="G1800" s="693"/>
      <c r="H1800" s="693"/>
      <c r="I1800" s="693"/>
      <c r="J1800" s="693"/>
      <c r="K1800" s="693"/>
      <c r="L1800" s="693"/>
      <c r="M1800" s="693"/>
      <c r="N1800" s="693"/>
      <c r="O1800" s="693"/>
      <c r="P1800" s="693"/>
      <c r="Q1800" s="693"/>
    </row>
    <row r="1801" spans="1:17" ht="13.5">
      <c r="A1801" s="693"/>
      <c r="B1801" s="693"/>
      <c r="C1801" s="693"/>
      <c r="D1801" s="693"/>
      <c r="E1801" s="693"/>
      <c r="F1801" s="693"/>
      <c r="G1801" s="693"/>
      <c r="H1801" s="693"/>
      <c r="I1801" s="693"/>
      <c r="J1801" s="693"/>
      <c r="K1801" s="693"/>
      <c r="L1801" s="693"/>
      <c r="M1801" s="693"/>
      <c r="N1801" s="693"/>
      <c r="O1801" s="693"/>
      <c r="P1801" s="693"/>
      <c r="Q1801" s="693"/>
    </row>
    <row r="1802" spans="1:17" ht="13.5">
      <c r="A1802" s="693"/>
      <c r="B1802" s="693"/>
      <c r="C1802" s="693"/>
      <c r="D1802" s="693"/>
      <c r="E1802" s="693"/>
      <c r="F1802" s="693"/>
      <c r="G1802" s="693"/>
      <c r="H1802" s="693"/>
      <c r="I1802" s="693"/>
      <c r="J1802" s="693"/>
      <c r="K1802" s="693"/>
      <c r="L1802" s="693"/>
      <c r="M1802" s="693"/>
      <c r="N1802" s="693"/>
      <c r="O1802" s="693"/>
      <c r="P1802" s="693"/>
      <c r="Q1802" s="693"/>
    </row>
    <row r="1803" spans="1:17" ht="13.5">
      <c r="A1803" s="693"/>
      <c r="B1803" s="693"/>
      <c r="C1803" s="693"/>
      <c r="D1803" s="693"/>
      <c r="E1803" s="693"/>
      <c r="F1803" s="693"/>
      <c r="G1803" s="693"/>
      <c r="H1803" s="693"/>
      <c r="I1803" s="693"/>
      <c r="J1803" s="693"/>
      <c r="K1803" s="693"/>
      <c r="L1803" s="693"/>
      <c r="M1803" s="693"/>
      <c r="N1803" s="693"/>
      <c r="O1803" s="693"/>
      <c r="P1803" s="693"/>
      <c r="Q1803" s="693"/>
    </row>
    <row r="1804" spans="1:17" ht="13.5">
      <c r="A1804" s="693"/>
      <c r="B1804" s="693"/>
      <c r="C1804" s="693"/>
      <c r="D1804" s="693"/>
      <c r="E1804" s="693"/>
      <c r="F1804" s="693"/>
      <c r="G1804" s="693"/>
      <c r="H1804" s="693"/>
      <c r="I1804" s="693"/>
      <c r="J1804" s="693"/>
      <c r="K1804" s="693"/>
      <c r="L1804" s="693"/>
      <c r="M1804" s="693"/>
      <c r="N1804" s="693"/>
      <c r="O1804" s="693"/>
      <c r="P1804" s="693"/>
      <c r="Q1804" s="693"/>
    </row>
    <row r="1805" spans="1:17" ht="13.5">
      <c r="A1805" s="693"/>
      <c r="B1805" s="693"/>
      <c r="C1805" s="693"/>
      <c r="D1805" s="693"/>
      <c r="E1805" s="693"/>
      <c r="F1805" s="693"/>
      <c r="G1805" s="693"/>
      <c r="H1805" s="693"/>
      <c r="I1805" s="693"/>
      <c r="J1805" s="693"/>
      <c r="K1805" s="693"/>
      <c r="L1805" s="693"/>
      <c r="M1805" s="693"/>
      <c r="N1805" s="693"/>
      <c r="O1805" s="693"/>
      <c r="P1805" s="693"/>
      <c r="Q1805" s="693"/>
    </row>
    <row r="1806" spans="1:17" ht="13.5">
      <c r="A1806" s="693"/>
      <c r="B1806" s="693"/>
      <c r="C1806" s="693"/>
      <c r="D1806" s="693"/>
      <c r="E1806" s="693"/>
      <c r="F1806" s="693"/>
      <c r="G1806" s="693"/>
      <c r="H1806" s="693"/>
      <c r="I1806" s="693"/>
      <c r="J1806" s="693"/>
      <c r="K1806" s="693"/>
      <c r="L1806" s="693"/>
      <c r="M1806" s="693"/>
      <c r="N1806" s="693"/>
      <c r="O1806" s="693"/>
      <c r="P1806" s="693"/>
      <c r="Q1806" s="693"/>
    </row>
    <row r="1807" spans="1:17" ht="13.5">
      <c r="A1807" s="693"/>
      <c r="B1807" s="693"/>
      <c r="C1807" s="693"/>
      <c r="D1807" s="693"/>
      <c r="E1807" s="693"/>
      <c r="F1807" s="693"/>
      <c r="G1807" s="693"/>
      <c r="H1807" s="693"/>
      <c r="I1807" s="693"/>
      <c r="J1807" s="693"/>
      <c r="K1807" s="693"/>
      <c r="L1807" s="693"/>
      <c r="M1807" s="693"/>
      <c r="N1807" s="693"/>
      <c r="O1807" s="693"/>
      <c r="P1807" s="693"/>
      <c r="Q1807" s="693"/>
    </row>
    <row r="1808" spans="1:17" ht="13.5">
      <c r="A1808" s="693"/>
      <c r="B1808" s="693"/>
      <c r="C1808" s="693"/>
      <c r="D1808" s="693"/>
      <c r="E1808" s="693"/>
      <c r="F1808" s="693"/>
      <c r="G1808" s="693"/>
      <c r="H1808" s="693"/>
      <c r="I1808" s="693"/>
      <c r="J1808" s="693"/>
      <c r="K1808" s="693"/>
      <c r="L1808" s="693"/>
      <c r="M1808" s="693"/>
      <c r="N1808" s="693"/>
      <c r="O1808" s="693"/>
      <c r="P1808" s="693"/>
      <c r="Q1808" s="693"/>
    </row>
    <row r="1809" spans="1:17" ht="13.5">
      <c r="A1809" s="693"/>
      <c r="B1809" s="693"/>
      <c r="C1809" s="693"/>
      <c r="D1809" s="693"/>
      <c r="E1809" s="693"/>
      <c r="F1809" s="693"/>
      <c r="G1809" s="693"/>
      <c r="H1809" s="693"/>
      <c r="I1809" s="693"/>
      <c r="J1809" s="693"/>
      <c r="K1809" s="693"/>
      <c r="L1809" s="693"/>
      <c r="M1809" s="693"/>
      <c r="N1809" s="693"/>
      <c r="O1809" s="693"/>
      <c r="P1809" s="693"/>
      <c r="Q1809" s="693"/>
    </row>
    <row r="1810" spans="1:17" ht="13.5">
      <c r="A1810" s="693"/>
      <c r="B1810" s="693"/>
      <c r="C1810" s="693"/>
      <c r="D1810" s="693"/>
      <c r="E1810" s="693"/>
      <c r="F1810" s="693"/>
      <c r="G1810" s="693"/>
      <c r="H1810" s="693"/>
      <c r="I1810" s="693"/>
      <c r="J1810" s="693"/>
      <c r="K1810" s="693"/>
      <c r="L1810" s="693"/>
      <c r="M1810" s="693"/>
      <c r="N1810" s="693"/>
      <c r="O1810" s="693"/>
      <c r="P1810" s="693"/>
      <c r="Q1810" s="693"/>
    </row>
    <row r="1811" spans="1:17" ht="13.5">
      <c r="A1811" s="693"/>
      <c r="B1811" s="693"/>
      <c r="C1811" s="693"/>
      <c r="D1811" s="693"/>
      <c r="E1811" s="693"/>
      <c r="F1811" s="693"/>
      <c r="G1811" s="693"/>
      <c r="H1811" s="693"/>
      <c r="I1811" s="693"/>
      <c r="J1811" s="693"/>
      <c r="K1811" s="693"/>
      <c r="L1811" s="693"/>
      <c r="M1811" s="693"/>
      <c r="N1811" s="693"/>
      <c r="O1811" s="693"/>
      <c r="P1811" s="693"/>
      <c r="Q1811" s="693"/>
    </row>
    <row r="1812" spans="1:17" ht="13.5">
      <c r="A1812" s="693"/>
      <c r="B1812" s="693"/>
      <c r="C1812" s="693"/>
      <c r="D1812" s="693"/>
      <c r="E1812" s="693"/>
      <c r="F1812" s="693"/>
      <c r="G1812" s="693"/>
      <c r="H1812" s="693"/>
      <c r="I1812" s="693"/>
      <c r="J1812" s="693"/>
      <c r="K1812" s="693"/>
      <c r="L1812" s="693"/>
      <c r="M1812" s="693"/>
      <c r="N1812" s="693"/>
      <c r="O1812" s="693"/>
      <c r="P1812" s="693"/>
      <c r="Q1812" s="693"/>
    </row>
    <row r="1813" spans="1:17" ht="13.5">
      <c r="A1813" s="693"/>
      <c r="B1813" s="693"/>
      <c r="C1813" s="693"/>
      <c r="D1813" s="693"/>
      <c r="E1813" s="693"/>
      <c r="F1813" s="693"/>
      <c r="G1813" s="693"/>
      <c r="H1813" s="693"/>
      <c r="I1813" s="693"/>
      <c r="J1813" s="693"/>
      <c r="K1813" s="693"/>
      <c r="L1813" s="693"/>
      <c r="M1813" s="693"/>
      <c r="N1813" s="693"/>
      <c r="O1813" s="693"/>
      <c r="P1813" s="693"/>
      <c r="Q1813" s="693"/>
    </row>
    <row r="1814" spans="1:17" ht="13.5">
      <c r="A1814" s="693"/>
      <c r="B1814" s="693"/>
      <c r="C1814" s="693"/>
      <c r="D1814" s="693"/>
      <c r="E1814" s="693"/>
      <c r="F1814" s="693"/>
      <c r="G1814" s="693"/>
      <c r="H1814" s="693"/>
      <c r="I1814" s="693"/>
      <c r="J1814" s="693"/>
      <c r="K1814" s="693"/>
      <c r="L1814" s="693"/>
      <c r="M1814" s="693"/>
      <c r="N1814" s="693"/>
      <c r="O1814" s="693"/>
      <c r="P1814" s="693"/>
      <c r="Q1814" s="693"/>
    </row>
    <row r="1815" spans="1:17" ht="13.5">
      <c r="A1815" s="693"/>
      <c r="B1815" s="693"/>
      <c r="C1815" s="693"/>
      <c r="D1815" s="693"/>
      <c r="E1815" s="693"/>
      <c r="F1815" s="693"/>
      <c r="G1815" s="693"/>
      <c r="H1815" s="693"/>
      <c r="I1815" s="693"/>
      <c r="J1815" s="693"/>
      <c r="K1815" s="693"/>
      <c r="L1815" s="693"/>
      <c r="M1815" s="693"/>
      <c r="N1815" s="693"/>
      <c r="O1815" s="693"/>
      <c r="P1815" s="693"/>
      <c r="Q1815" s="693"/>
    </row>
    <row r="1816" spans="1:17" ht="13.5">
      <c r="A1816" s="693"/>
      <c r="B1816" s="693"/>
      <c r="C1816" s="693"/>
      <c r="D1816" s="693"/>
      <c r="E1816" s="693"/>
      <c r="F1816" s="693"/>
      <c r="G1816" s="693"/>
      <c r="H1816" s="693"/>
      <c r="I1816" s="693"/>
      <c r="J1816" s="693"/>
      <c r="K1816" s="693"/>
      <c r="L1816" s="693"/>
      <c r="M1816" s="693"/>
      <c r="N1816" s="693"/>
      <c r="O1816" s="693"/>
      <c r="P1816" s="693"/>
      <c r="Q1816" s="693"/>
    </row>
    <row r="1817" spans="1:17" ht="13.5">
      <c r="A1817" s="693"/>
      <c r="B1817" s="693"/>
      <c r="C1817" s="693"/>
      <c r="D1817" s="693"/>
      <c r="E1817" s="693"/>
      <c r="F1817" s="693"/>
      <c r="G1817" s="693"/>
      <c r="H1817" s="693"/>
      <c r="I1817" s="693"/>
      <c r="J1817" s="693"/>
      <c r="K1817" s="693"/>
      <c r="L1817" s="693"/>
      <c r="M1817" s="693"/>
      <c r="N1817" s="693"/>
      <c r="O1817" s="693"/>
      <c r="P1817" s="693"/>
      <c r="Q1817" s="693"/>
    </row>
    <row r="1818" spans="1:17" ht="13.5">
      <c r="A1818" s="693"/>
      <c r="B1818" s="693"/>
      <c r="C1818" s="693"/>
      <c r="D1818" s="693"/>
      <c r="E1818" s="693"/>
      <c r="F1818" s="693"/>
      <c r="G1818" s="693"/>
      <c r="H1818" s="693"/>
      <c r="I1818" s="693"/>
      <c r="J1818" s="693"/>
      <c r="K1818" s="693"/>
      <c r="L1818" s="693"/>
      <c r="M1818" s="693"/>
      <c r="N1818" s="693"/>
      <c r="O1818" s="693"/>
      <c r="P1818" s="693"/>
      <c r="Q1818" s="693"/>
    </row>
    <row r="1819" spans="1:17" ht="13.5">
      <c r="A1819" s="693"/>
      <c r="B1819" s="693"/>
      <c r="C1819" s="693"/>
      <c r="D1819" s="693"/>
      <c r="E1819" s="693"/>
      <c r="F1819" s="693"/>
      <c r="G1819" s="693"/>
      <c r="H1819" s="693"/>
      <c r="I1819" s="693"/>
      <c r="J1819" s="693"/>
      <c r="K1819" s="693"/>
      <c r="L1819" s="693"/>
      <c r="M1819" s="693"/>
      <c r="N1819" s="693"/>
      <c r="O1819" s="693"/>
      <c r="P1819" s="693"/>
      <c r="Q1819" s="693"/>
    </row>
    <row r="1820" spans="1:17" ht="13.5">
      <c r="A1820" s="693"/>
      <c r="B1820" s="693"/>
      <c r="C1820" s="693"/>
      <c r="D1820" s="693"/>
      <c r="E1820" s="693"/>
      <c r="F1820" s="693"/>
      <c r="G1820" s="693"/>
      <c r="H1820" s="693"/>
      <c r="I1820" s="693"/>
      <c r="J1820" s="693"/>
      <c r="K1820" s="693"/>
      <c r="L1820" s="693"/>
      <c r="M1820" s="693"/>
      <c r="N1820" s="693"/>
      <c r="O1820" s="693"/>
      <c r="P1820" s="693"/>
      <c r="Q1820" s="693"/>
    </row>
    <row r="1821" spans="1:17" ht="13.5">
      <c r="A1821" s="693"/>
      <c r="B1821" s="693"/>
      <c r="C1821" s="693"/>
      <c r="D1821" s="693"/>
      <c r="E1821" s="693"/>
      <c r="F1821" s="693"/>
      <c r="G1821" s="693"/>
      <c r="H1821" s="693"/>
      <c r="I1821" s="693"/>
      <c r="J1821" s="693"/>
      <c r="K1821" s="693"/>
      <c r="L1821" s="693"/>
      <c r="M1821" s="693"/>
      <c r="N1821" s="693"/>
      <c r="O1821" s="693"/>
      <c r="P1821" s="693"/>
      <c r="Q1821" s="693"/>
    </row>
    <row r="1822" spans="1:17" ht="13.5">
      <c r="A1822" s="693"/>
      <c r="B1822" s="693"/>
      <c r="C1822" s="693"/>
      <c r="D1822" s="693"/>
      <c r="E1822" s="693"/>
      <c r="F1822" s="693"/>
      <c r="G1822" s="693"/>
      <c r="H1822" s="693"/>
      <c r="I1822" s="693"/>
      <c r="J1822" s="693"/>
      <c r="K1822" s="693"/>
      <c r="L1822" s="693"/>
      <c r="M1822" s="693"/>
      <c r="N1822" s="693"/>
      <c r="O1822" s="693"/>
      <c r="P1822" s="693"/>
      <c r="Q1822" s="693"/>
    </row>
    <row r="1823" spans="1:17" ht="13.5">
      <c r="A1823" s="693"/>
      <c r="B1823" s="693"/>
      <c r="C1823" s="693"/>
      <c r="D1823" s="693"/>
      <c r="E1823" s="693"/>
      <c r="F1823" s="693"/>
      <c r="G1823" s="693"/>
      <c r="H1823" s="693"/>
      <c r="I1823" s="693"/>
      <c r="J1823" s="693"/>
      <c r="K1823" s="693"/>
      <c r="L1823" s="693"/>
      <c r="M1823" s="693"/>
      <c r="N1823" s="693"/>
      <c r="O1823" s="693"/>
      <c r="P1823" s="693"/>
      <c r="Q1823" s="693"/>
    </row>
    <row r="1824" spans="1:17" ht="13.5">
      <c r="A1824" s="693"/>
      <c r="B1824" s="693"/>
      <c r="C1824" s="693"/>
      <c r="D1824" s="693"/>
      <c r="E1824" s="693"/>
      <c r="F1824" s="693"/>
      <c r="G1824" s="693"/>
      <c r="H1824" s="693"/>
      <c r="I1824" s="693"/>
      <c r="J1824" s="693"/>
      <c r="K1824" s="693"/>
      <c r="L1824" s="693"/>
      <c r="M1824" s="693"/>
      <c r="N1824" s="693"/>
      <c r="O1824" s="693"/>
      <c r="P1824" s="693"/>
      <c r="Q1824" s="693"/>
    </row>
    <row r="1825" spans="1:17" ht="13.5">
      <c r="A1825" s="693"/>
      <c r="B1825" s="693"/>
      <c r="C1825" s="693"/>
      <c r="D1825" s="693"/>
      <c r="E1825" s="693"/>
      <c r="F1825" s="693"/>
      <c r="G1825" s="693"/>
      <c r="H1825" s="693"/>
      <c r="I1825" s="693"/>
      <c r="J1825" s="693"/>
      <c r="K1825" s="693"/>
      <c r="L1825" s="693"/>
      <c r="M1825" s="693"/>
      <c r="N1825" s="693"/>
      <c r="O1825" s="693"/>
      <c r="P1825" s="693"/>
      <c r="Q1825" s="693"/>
    </row>
    <row r="1826" spans="1:17" ht="13.5">
      <c r="A1826" s="693"/>
      <c r="B1826" s="693"/>
      <c r="C1826" s="693"/>
      <c r="D1826" s="693"/>
      <c r="E1826" s="693"/>
      <c r="F1826" s="693"/>
      <c r="G1826" s="693"/>
      <c r="H1826" s="693"/>
      <c r="I1826" s="693"/>
      <c r="J1826" s="693"/>
      <c r="K1826" s="693"/>
      <c r="L1826" s="693"/>
      <c r="M1826" s="693"/>
      <c r="N1826" s="693"/>
      <c r="O1826" s="693"/>
      <c r="P1826" s="693"/>
      <c r="Q1826" s="693"/>
    </row>
    <row r="1827" spans="1:17" ht="13.5">
      <c r="A1827" s="693"/>
      <c r="B1827" s="693"/>
      <c r="C1827" s="693"/>
      <c r="D1827" s="693"/>
      <c r="E1827" s="693"/>
      <c r="F1827" s="693"/>
      <c r="G1827" s="693"/>
      <c r="H1827" s="693"/>
      <c r="I1827" s="693"/>
      <c r="J1827" s="693"/>
      <c r="K1827" s="693"/>
      <c r="L1827" s="693"/>
      <c r="M1827" s="693"/>
      <c r="N1827" s="693"/>
      <c r="O1827" s="693"/>
      <c r="P1827" s="693"/>
      <c r="Q1827" s="693"/>
    </row>
    <row r="1828" spans="1:17" ht="13.5">
      <c r="A1828" s="693"/>
      <c r="B1828" s="693"/>
      <c r="C1828" s="693"/>
      <c r="D1828" s="693"/>
      <c r="E1828" s="693"/>
      <c r="F1828" s="693"/>
      <c r="G1828" s="693"/>
      <c r="H1828" s="693"/>
      <c r="I1828" s="693"/>
      <c r="J1828" s="693"/>
      <c r="K1828" s="693"/>
      <c r="L1828" s="693"/>
      <c r="M1828" s="693"/>
      <c r="N1828" s="693"/>
      <c r="O1828" s="693"/>
      <c r="P1828" s="693"/>
      <c r="Q1828" s="693"/>
    </row>
    <row r="1829" spans="1:17" ht="13.5">
      <c r="A1829" s="693"/>
      <c r="B1829" s="693"/>
      <c r="C1829" s="693"/>
      <c r="D1829" s="693"/>
      <c r="E1829" s="693"/>
      <c r="F1829" s="693"/>
      <c r="G1829" s="693"/>
      <c r="H1829" s="693"/>
      <c r="I1829" s="693"/>
      <c r="J1829" s="693"/>
      <c r="K1829" s="693"/>
      <c r="L1829" s="693"/>
      <c r="M1829" s="693"/>
      <c r="N1829" s="693"/>
      <c r="O1829" s="693"/>
      <c r="P1829" s="693"/>
      <c r="Q1829" s="693"/>
    </row>
    <row r="1830" spans="1:17" ht="13.5">
      <c r="A1830" s="693"/>
      <c r="B1830" s="693"/>
      <c r="C1830" s="693"/>
      <c r="D1830" s="693"/>
      <c r="E1830" s="693"/>
      <c r="F1830" s="693"/>
      <c r="G1830" s="693"/>
      <c r="H1830" s="693"/>
      <c r="I1830" s="693"/>
      <c r="J1830" s="693"/>
      <c r="K1830" s="693"/>
      <c r="L1830" s="693"/>
      <c r="M1830" s="693"/>
      <c r="N1830" s="693"/>
      <c r="O1830" s="693"/>
      <c r="P1830" s="693"/>
      <c r="Q1830" s="693"/>
    </row>
    <row r="1831" spans="1:17" ht="13.5">
      <c r="A1831" s="693"/>
      <c r="B1831" s="693"/>
      <c r="C1831" s="693"/>
      <c r="D1831" s="693"/>
      <c r="E1831" s="693"/>
      <c r="F1831" s="693"/>
      <c r="G1831" s="693"/>
      <c r="H1831" s="693"/>
      <c r="I1831" s="693"/>
      <c r="J1831" s="693"/>
      <c r="K1831" s="693"/>
      <c r="L1831" s="693"/>
      <c r="M1831" s="693"/>
      <c r="N1831" s="693"/>
      <c r="O1831" s="693"/>
      <c r="P1831" s="693"/>
      <c r="Q1831" s="693"/>
    </row>
    <row r="1832" spans="1:17" ht="13.5">
      <c r="A1832" s="693"/>
      <c r="B1832" s="693"/>
      <c r="C1832" s="693"/>
      <c r="D1832" s="693"/>
      <c r="E1832" s="693"/>
      <c r="F1832" s="693"/>
      <c r="G1832" s="693"/>
      <c r="H1832" s="693"/>
      <c r="I1832" s="693"/>
      <c r="J1832" s="693"/>
      <c r="K1832" s="693"/>
      <c r="L1832" s="693"/>
      <c r="M1832" s="693"/>
      <c r="N1832" s="693"/>
      <c r="O1832" s="693"/>
      <c r="P1832" s="693"/>
      <c r="Q1832" s="693"/>
    </row>
    <row r="1833" spans="1:17" ht="13.5">
      <c r="A1833" s="693"/>
      <c r="B1833" s="693"/>
      <c r="C1833" s="693"/>
      <c r="D1833" s="693"/>
      <c r="E1833" s="693"/>
      <c r="F1833" s="693"/>
      <c r="G1833" s="693"/>
      <c r="H1833" s="693"/>
      <c r="I1833" s="693"/>
      <c r="J1833" s="693"/>
      <c r="K1833" s="693"/>
      <c r="L1833" s="693"/>
      <c r="M1833" s="693"/>
      <c r="N1833" s="693"/>
      <c r="O1833" s="693"/>
      <c r="P1833" s="693"/>
      <c r="Q1833" s="693"/>
    </row>
    <row r="1834" spans="1:17" ht="13.5">
      <c r="A1834" s="693"/>
      <c r="B1834" s="693"/>
      <c r="C1834" s="693"/>
      <c r="D1834" s="693"/>
      <c r="E1834" s="693"/>
      <c r="F1834" s="693"/>
      <c r="G1834" s="693"/>
      <c r="H1834" s="693"/>
      <c r="I1834" s="693"/>
      <c r="J1834" s="693"/>
      <c r="K1834" s="693"/>
      <c r="L1834" s="693"/>
      <c r="M1834" s="693"/>
      <c r="N1834" s="693"/>
      <c r="O1834" s="693"/>
      <c r="P1834" s="693"/>
      <c r="Q1834" s="693"/>
    </row>
    <row r="1835" spans="1:17" ht="13.5">
      <c r="A1835" s="693"/>
      <c r="B1835" s="693"/>
      <c r="C1835" s="693"/>
      <c r="D1835" s="693"/>
      <c r="E1835" s="693"/>
      <c r="F1835" s="693"/>
      <c r="G1835" s="693"/>
      <c r="H1835" s="693"/>
      <c r="I1835" s="693"/>
      <c r="J1835" s="693"/>
      <c r="K1835" s="693"/>
      <c r="L1835" s="693"/>
      <c r="M1835" s="693"/>
      <c r="N1835" s="693"/>
      <c r="O1835" s="693"/>
      <c r="P1835" s="693"/>
      <c r="Q1835" s="693"/>
    </row>
    <row r="1836" spans="1:17" ht="13.5">
      <c r="A1836" s="693"/>
      <c r="B1836" s="693"/>
      <c r="C1836" s="693"/>
      <c r="D1836" s="693"/>
      <c r="E1836" s="693"/>
      <c r="F1836" s="693"/>
      <c r="G1836" s="693"/>
      <c r="H1836" s="693"/>
      <c r="I1836" s="693"/>
      <c r="J1836" s="693"/>
      <c r="K1836" s="693"/>
      <c r="L1836" s="693"/>
      <c r="M1836" s="693"/>
      <c r="N1836" s="693"/>
      <c r="O1836" s="693"/>
      <c r="P1836" s="693"/>
      <c r="Q1836" s="693"/>
    </row>
    <row r="1837" spans="1:17" ht="13.5">
      <c r="A1837" s="693"/>
      <c r="B1837" s="693"/>
      <c r="C1837" s="693"/>
      <c r="D1837" s="693"/>
      <c r="E1837" s="693"/>
      <c r="F1837" s="693"/>
      <c r="G1837" s="693"/>
      <c r="H1837" s="693"/>
      <c r="I1837" s="693"/>
      <c r="J1837" s="693"/>
      <c r="K1837" s="693"/>
      <c r="L1837" s="693"/>
      <c r="M1837" s="693"/>
      <c r="N1837" s="693"/>
      <c r="O1837" s="693"/>
      <c r="P1837" s="693"/>
      <c r="Q1837" s="693"/>
    </row>
    <row r="1838" spans="1:17" ht="13.5">
      <c r="A1838" s="693"/>
      <c r="B1838" s="693"/>
      <c r="C1838" s="693"/>
      <c r="D1838" s="693"/>
      <c r="E1838" s="693"/>
      <c r="F1838" s="693"/>
      <c r="G1838" s="693"/>
      <c r="H1838" s="693"/>
      <c r="I1838" s="693"/>
      <c r="J1838" s="693"/>
      <c r="K1838" s="693"/>
      <c r="L1838" s="693"/>
      <c r="M1838" s="693"/>
      <c r="N1838" s="693"/>
      <c r="O1838" s="693"/>
      <c r="P1838" s="693"/>
      <c r="Q1838" s="693"/>
    </row>
    <row r="1839" spans="1:17" ht="13.5">
      <c r="A1839" s="693"/>
      <c r="B1839" s="693"/>
      <c r="C1839" s="693"/>
      <c r="D1839" s="693"/>
      <c r="E1839" s="693"/>
      <c r="F1839" s="693"/>
      <c r="G1839" s="693"/>
      <c r="H1839" s="693"/>
      <c r="I1839" s="693"/>
      <c r="J1839" s="693"/>
      <c r="K1839" s="693"/>
      <c r="L1839" s="693"/>
      <c r="M1839" s="693"/>
      <c r="N1839" s="693"/>
      <c r="O1839" s="693"/>
      <c r="P1839" s="693"/>
      <c r="Q1839" s="693"/>
    </row>
    <row r="1840" spans="1:17" ht="13.5">
      <c r="A1840" s="693"/>
      <c r="B1840" s="693"/>
      <c r="C1840" s="693"/>
      <c r="D1840" s="693"/>
      <c r="E1840" s="693"/>
      <c r="F1840" s="693"/>
      <c r="G1840" s="693"/>
      <c r="H1840" s="693"/>
      <c r="I1840" s="693"/>
      <c r="J1840" s="693"/>
      <c r="K1840" s="693"/>
      <c r="L1840" s="693"/>
      <c r="M1840" s="693"/>
      <c r="N1840" s="693"/>
      <c r="O1840" s="693"/>
      <c r="P1840" s="693"/>
      <c r="Q1840" s="693"/>
    </row>
    <row r="1841" spans="1:17" ht="13.5">
      <c r="A1841" s="693"/>
      <c r="B1841" s="693"/>
      <c r="C1841" s="693"/>
      <c r="D1841" s="693"/>
      <c r="E1841" s="693"/>
      <c r="F1841" s="693"/>
      <c r="G1841" s="693"/>
      <c r="H1841" s="693"/>
      <c r="I1841" s="693"/>
      <c r="J1841" s="693"/>
      <c r="K1841" s="693"/>
      <c r="L1841" s="693"/>
      <c r="M1841" s="693"/>
      <c r="N1841" s="693"/>
      <c r="O1841" s="693"/>
      <c r="P1841" s="693"/>
      <c r="Q1841" s="693"/>
    </row>
    <row r="1842" spans="1:17" ht="13.5">
      <c r="A1842" s="693"/>
      <c r="B1842" s="693"/>
      <c r="C1842" s="693"/>
      <c r="D1842" s="693"/>
      <c r="E1842" s="693"/>
      <c r="F1842" s="693"/>
      <c r="G1842" s="693"/>
      <c r="H1842" s="693"/>
      <c r="I1842" s="693"/>
      <c r="J1842" s="693"/>
      <c r="K1842" s="693"/>
      <c r="L1842" s="693"/>
      <c r="M1842" s="693"/>
      <c r="N1842" s="693"/>
      <c r="O1842" s="693"/>
      <c r="P1842" s="693"/>
      <c r="Q1842" s="693"/>
    </row>
    <row r="1843" spans="1:17" ht="13.5">
      <c r="A1843" s="693"/>
      <c r="B1843" s="693"/>
      <c r="C1843" s="693"/>
      <c r="D1843" s="693"/>
      <c r="E1843" s="693"/>
      <c r="F1843" s="693"/>
      <c r="G1843" s="693"/>
      <c r="H1843" s="693"/>
      <c r="I1843" s="693"/>
      <c r="J1843" s="693"/>
      <c r="K1843" s="693"/>
      <c r="L1843" s="693"/>
      <c r="M1843" s="693"/>
      <c r="N1843" s="693"/>
      <c r="O1843" s="693"/>
      <c r="P1843" s="693"/>
      <c r="Q1843" s="693"/>
    </row>
    <row r="1844" spans="1:17" ht="13.5">
      <c r="A1844" s="693"/>
      <c r="B1844" s="693"/>
      <c r="C1844" s="693"/>
      <c r="D1844" s="693"/>
      <c r="E1844" s="693"/>
      <c r="F1844" s="693"/>
      <c r="G1844" s="693"/>
      <c r="H1844" s="693"/>
      <c r="I1844" s="693"/>
      <c r="J1844" s="693"/>
      <c r="K1844" s="693"/>
      <c r="L1844" s="693"/>
      <c r="M1844" s="693"/>
      <c r="N1844" s="693"/>
      <c r="O1844" s="693"/>
      <c r="P1844" s="693"/>
      <c r="Q1844" s="693"/>
    </row>
    <row r="1845" spans="1:17" ht="13.5">
      <c r="A1845" s="693"/>
      <c r="B1845" s="693"/>
      <c r="C1845" s="693"/>
      <c r="D1845" s="693"/>
      <c r="E1845" s="693"/>
      <c r="F1845" s="693"/>
      <c r="G1845" s="693"/>
      <c r="H1845" s="693"/>
      <c r="I1845" s="693"/>
      <c r="J1845" s="693"/>
      <c r="K1845" s="693"/>
      <c r="L1845" s="693"/>
      <c r="M1845" s="693"/>
      <c r="N1845" s="693"/>
      <c r="O1845" s="693"/>
      <c r="P1845" s="693"/>
      <c r="Q1845" s="693"/>
    </row>
    <row r="1846" spans="1:17" ht="13.5">
      <c r="A1846" s="693"/>
      <c r="B1846" s="693"/>
      <c r="C1846" s="693"/>
      <c r="D1846" s="693"/>
      <c r="E1846" s="693"/>
      <c r="F1846" s="693"/>
      <c r="G1846" s="693"/>
      <c r="H1846" s="693"/>
      <c r="I1846" s="693"/>
      <c r="J1846" s="693"/>
      <c r="K1846" s="693"/>
      <c r="L1846" s="693"/>
      <c r="M1846" s="693"/>
      <c r="N1846" s="693"/>
      <c r="O1846" s="693"/>
      <c r="P1846" s="693"/>
      <c r="Q1846" s="693"/>
    </row>
    <row r="1847" spans="1:17" ht="13.5">
      <c r="A1847" s="693"/>
      <c r="B1847" s="693"/>
      <c r="C1847" s="693"/>
      <c r="D1847" s="693"/>
      <c r="E1847" s="693"/>
      <c r="F1847" s="693"/>
      <c r="G1847" s="693"/>
      <c r="H1847" s="693"/>
      <c r="I1847" s="693"/>
      <c r="J1847" s="693"/>
      <c r="K1847" s="693"/>
      <c r="L1847" s="693"/>
      <c r="M1847" s="693"/>
      <c r="N1847" s="693"/>
      <c r="O1847" s="693"/>
      <c r="P1847" s="693"/>
      <c r="Q1847" s="693"/>
    </row>
    <row r="1848" spans="1:17" ht="13.5">
      <c r="A1848" s="693"/>
      <c r="B1848" s="693"/>
      <c r="C1848" s="693"/>
      <c r="D1848" s="693"/>
      <c r="E1848" s="693"/>
      <c r="F1848" s="693"/>
      <c r="G1848" s="693"/>
      <c r="H1848" s="693"/>
      <c r="I1848" s="693"/>
      <c r="J1848" s="693"/>
      <c r="K1848" s="693"/>
      <c r="L1848" s="693"/>
      <c r="M1848" s="693"/>
      <c r="N1848" s="693"/>
      <c r="O1848" s="693"/>
      <c r="P1848" s="693"/>
      <c r="Q1848" s="693"/>
    </row>
    <row r="1849" spans="1:17" ht="13.5">
      <c r="A1849" s="693"/>
      <c r="B1849" s="693"/>
      <c r="C1849" s="693"/>
      <c r="D1849" s="693"/>
      <c r="E1849" s="693"/>
      <c r="F1849" s="693"/>
      <c r="G1849" s="693"/>
      <c r="H1849" s="693"/>
      <c r="I1849" s="693"/>
      <c r="J1849" s="693"/>
      <c r="K1849" s="693"/>
      <c r="L1849" s="693"/>
      <c r="M1849" s="693"/>
      <c r="N1849" s="693"/>
      <c r="O1849" s="693"/>
      <c r="P1849" s="693"/>
      <c r="Q1849" s="693"/>
    </row>
    <row r="1850" spans="1:17" ht="13.5">
      <c r="A1850" s="693"/>
      <c r="B1850" s="693"/>
      <c r="C1850" s="693"/>
      <c r="D1850" s="693"/>
      <c r="E1850" s="693"/>
      <c r="F1850" s="693"/>
      <c r="G1850" s="693"/>
      <c r="H1850" s="693"/>
      <c r="I1850" s="693"/>
      <c r="J1850" s="693"/>
      <c r="K1850" s="693"/>
      <c r="L1850" s="693"/>
      <c r="M1850" s="693"/>
      <c r="N1850" s="693"/>
      <c r="O1850" s="693"/>
      <c r="P1850" s="693"/>
      <c r="Q1850" s="693"/>
    </row>
    <row r="1851" spans="1:17" ht="13.5">
      <c r="A1851" s="693"/>
      <c r="B1851" s="693"/>
      <c r="C1851" s="693"/>
      <c r="D1851" s="693"/>
      <c r="E1851" s="693"/>
      <c r="F1851" s="693"/>
      <c r="G1851" s="693"/>
      <c r="H1851" s="693"/>
      <c r="I1851" s="693"/>
      <c r="J1851" s="693"/>
      <c r="K1851" s="693"/>
      <c r="L1851" s="693"/>
      <c r="M1851" s="693"/>
      <c r="N1851" s="693"/>
      <c r="O1851" s="693"/>
      <c r="P1851" s="693"/>
      <c r="Q1851" s="693"/>
    </row>
    <row r="1852" spans="1:17" ht="13.5">
      <c r="A1852" s="693"/>
      <c r="B1852" s="693"/>
      <c r="C1852" s="693"/>
      <c r="D1852" s="693"/>
      <c r="E1852" s="693"/>
      <c r="F1852" s="693"/>
      <c r="G1852" s="693"/>
      <c r="H1852" s="693"/>
      <c r="I1852" s="693"/>
      <c r="J1852" s="693"/>
      <c r="K1852" s="693"/>
      <c r="L1852" s="693"/>
      <c r="M1852" s="693"/>
      <c r="N1852" s="693"/>
      <c r="O1852" s="693"/>
      <c r="P1852" s="693"/>
      <c r="Q1852" s="693"/>
    </row>
    <row r="1853" spans="1:17" ht="13.5">
      <c r="A1853" s="693"/>
      <c r="B1853" s="693"/>
      <c r="C1853" s="693"/>
      <c r="D1853" s="693"/>
      <c r="E1853" s="693"/>
      <c r="F1853" s="693"/>
      <c r="G1853" s="693"/>
      <c r="H1853" s="693"/>
      <c r="I1853" s="693"/>
      <c r="J1853" s="693"/>
      <c r="K1853" s="693"/>
      <c r="L1853" s="693"/>
      <c r="M1853" s="693"/>
      <c r="N1853" s="693"/>
      <c r="O1853" s="693"/>
      <c r="P1853" s="693"/>
      <c r="Q1853" s="693"/>
    </row>
    <row r="1854" spans="1:17" ht="13.5">
      <c r="A1854" s="693"/>
      <c r="B1854" s="693"/>
      <c r="C1854" s="693"/>
      <c r="D1854" s="693"/>
      <c r="E1854" s="693"/>
      <c r="F1854" s="693"/>
      <c r="G1854" s="693"/>
      <c r="H1854" s="693"/>
      <c r="I1854" s="693"/>
      <c r="J1854" s="693"/>
      <c r="K1854" s="693"/>
      <c r="L1854" s="693"/>
      <c r="M1854" s="693"/>
      <c r="N1854" s="693"/>
      <c r="O1854" s="693"/>
      <c r="P1854" s="693"/>
      <c r="Q1854" s="693"/>
    </row>
    <row r="1855" spans="1:17" ht="13.5">
      <c r="A1855" s="693"/>
      <c r="B1855" s="693"/>
      <c r="C1855" s="693"/>
      <c r="D1855" s="693"/>
      <c r="E1855" s="693"/>
      <c r="F1855" s="693"/>
      <c r="G1855" s="693"/>
      <c r="H1855" s="693"/>
      <c r="I1855" s="693"/>
      <c r="J1855" s="693"/>
      <c r="K1855" s="693"/>
      <c r="L1855" s="693"/>
      <c r="M1855" s="693"/>
      <c r="N1855" s="693"/>
      <c r="O1855" s="693"/>
      <c r="P1855" s="693"/>
      <c r="Q1855" s="693"/>
    </row>
    <row r="1856" spans="1:17" ht="13.5">
      <c r="A1856" s="693"/>
      <c r="B1856" s="693"/>
      <c r="C1856" s="693"/>
      <c r="D1856" s="693"/>
      <c r="E1856" s="693"/>
      <c r="F1856" s="693"/>
      <c r="G1856" s="693"/>
      <c r="H1856" s="693"/>
      <c r="I1856" s="693"/>
      <c r="J1856" s="693"/>
      <c r="K1856" s="693"/>
      <c r="L1856" s="693"/>
      <c r="M1856" s="693"/>
      <c r="N1856" s="693"/>
      <c r="O1856" s="693"/>
      <c r="P1856" s="693"/>
      <c r="Q1856" s="693"/>
    </row>
    <row r="1857" spans="1:17" ht="13.5">
      <c r="A1857" s="693"/>
      <c r="B1857" s="693"/>
      <c r="C1857" s="693"/>
      <c r="D1857" s="693"/>
      <c r="E1857" s="693"/>
      <c r="F1857" s="693"/>
      <c r="G1857" s="693"/>
      <c r="H1857" s="693"/>
      <c r="I1857" s="693"/>
      <c r="J1857" s="693"/>
      <c r="K1857" s="693"/>
      <c r="L1857" s="693"/>
      <c r="M1857" s="693"/>
      <c r="N1857" s="693"/>
      <c r="O1857" s="693"/>
      <c r="P1857" s="693"/>
      <c r="Q1857" s="693"/>
    </row>
    <row r="1858" spans="1:17" ht="13.5">
      <c r="A1858" s="693"/>
      <c r="B1858" s="693"/>
      <c r="C1858" s="693"/>
      <c r="D1858" s="693"/>
      <c r="E1858" s="693"/>
      <c r="F1858" s="693"/>
      <c r="G1858" s="693"/>
      <c r="H1858" s="693"/>
      <c r="I1858" s="693"/>
      <c r="J1858" s="693"/>
      <c r="K1858" s="693"/>
      <c r="L1858" s="693"/>
      <c r="M1858" s="693"/>
      <c r="N1858" s="693"/>
      <c r="O1858" s="693"/>
      <c r="P1858" s="693"/>
      <c r="Q1858" s="693"/>
    </row>
    <row r="1859" spans="1:17" ht="13.5">
      <c r="A1859" s="693"/>
      <c r="B1859" s="693"/>
      <c r="C1859" s="693"/>
      <c r="D1859" s="693"/>
      <c r="E1859" s="693"/>
      <c r="F1859" s="693"/>
      <c r="G1859" s="693"/>
      <c r="H1859" s="693"/>
      <c r="I1859" s="693"/>
      <c r="J1859" s="693"/>
      <c r="K1859" s="693"/>
      <c r="L1859" s="693"/>
      <c r="M1859" s="693"/>
      <c r="N1859" s="693"/>
      <c r="O1859" s="693"/>
      <c r="P1859" s="693"/>
      <c r="Q1859" s="693"/>
    </row>
    <row r="1860" spans="1:17" ht="13.5">
      <c r="A1860" s="693"/>
      <c r="B1860" s="693"/>
      <c r="C1860" s="693"/>
      <c r="D1860" s="693"/>
      <c r="E1860" s="693"/>
      <c r="F1860" s="693"/>
      <c r="G1860" s="693"/>
      <c r="H1860" s="693"/>
      <c r="I1860" s="693"/>
      <c r="J1860" s="693"/>
      <c r="K1860" s="693"/>
      <c r="L1860" s="693"/>
      <c r="M1860" s="693"/>
      <c r="N1860" s="693"/>
      <c r="O1860" s="693"/>
      <c r="P1860" s="693"/>
      <c r="Q1860" s="693"/>
    </row>
    <row r="1861" spans="1:17" ht="13.5">
      <c r="A1861" s="693"/>
      <c r="B1861" s="693"/>
      <c r="C1861" s="693"/>
      <c r="D1861" s="693"/>
      <c r="E1861" s="693"/>
      <c r="F1861" s="693"/>
      <c r="G1861" s="693"/>
      <c r="H1861" s="693"/>
      <c r="I1861" s="693"/>
      <c r="J1861" s="693"/>
      <c r="K1861" s="693"/>
      <c r="L1861" s="693"/>
      <c r="M1861" s="693"/>
      <c r="N1861" s="693"/>
      <c r="O1861" s="693"/>
      <c r="P1861" s="693"/>
      <c r="Q1861" s="693"/>
    </row>
    <row r="1862" spans="1:17" ht="13.5">
      <c r="A1862" s="693"/>
      <c r="B1862" s="693"/>
      <c r="C1862" s="693"/>
      <c r="D1862" s="693"/>
      <c r="E1862" s="693"/>
      <c r="F1862" s="693"/>
      <c r="G1862" s="693"/>
      <c r="H1862" s="693"/>
      <c r="I1862" s="693"/>
      <c r="J1862" s="693"/>
      <c r="K1862" s="693"/>
      <c r="L1862" s="693"/>
      <c r="M1862" s="693"/>
      <c r="N1862" s="693"/>
      <c r="O1862" s="693"/>
      <c r="P1862" s="693"/>
      <c r="Q1862" s="693"/>
    </row>
    <row r="1863" spans="1:17" ht="13.5">
      <c r="A1863" s="693"/>
      <c r="B1863" s="693"/>
      <c r="C1863" s="693"/>
      <c r="D1863" s="693"/>
      <c r="E1863" s="693"/>
      <c r="F1863" s="693"/>
      <c r="G1863" s="693"/>
      <c r="H1863" s="693"/>
      <c r="I1863" s="693"/>
      <c r="J1863" s="693"/>
      <c r="K1863" s="693"/>
      <c r="L1863" s="693"/>
      <c r="M1863" s="693"/>
      <c r="N1863" s="693"/>
      <c r="O1863" s="693"/>
      <c r="P1863" s="693"/>
      <c r="Q1863" s="693"/>
    </row>
    <row r="1864" spans="1:17" ht="13.5">
      <c r="A1864" s="693"/>
      <c r="B1864" s="693"/>
      <c r="C1864" s="693"/>
      <c r="D1864" s="693"/>
      <c r="E1864" s="693"/>
      <c r="F1864" s="693"/>
      <c r="G1864" s="693"/>
      <c r="H1864" s="693"/>
      <c r="I1864" s="693"/>
      <c r="J1864" s="693"/>
      <c r="K1864" s="693"/>
      <c r="L1864" s="693"/>
      <c r="M1864" s="693"/>
      <c r="N1864" s="693"/>
      <c r="O1864" s="693"/>
      <c r="P1864" s="693"/>
      <c r="Q1864" s="693"/>
    </row>
    <row r="1865" spans="1:17" ht="13.5">
      <c r="A1865" s="693"/>
      <c r="B1865" s="693"/>
      <c r="C1865" s="693"/>
      <c r="D1865" s="693"/>
      <c r="E1865" s="693"/>
      <c r="F1865" s="693"/>
      <c r="G1865" s="693"/>
      <c r="H1865" s="693"/>
      <c r="I1865" s="693"/>
      <c r="J1865" s="693"/>
      <c r="K1865" s="693"/>
      <c r="L1865" s="693"/>
      <c r="M1865" s="693"/>
      <c r="N1865" s="693"/>
      <c r="O1865" s="693"/>
      <c r="P1865" s="693"/>
      <c r="Q1865" s="693"/>
    </row>
    <row r="1866" spans="1:17" ht="13.5">
      <c r="A1866" s="693"/>
      <c r="B1866" s="693"/>
      <c r="C1866" s="693"/>
      <c r="D1866" s="693"/>
      <c r="E1866" s="693"/>
      <c r="F1866" s="693"/>
      <c r="G1866" s="693"/>
      <c r="H1866" s="693"/>
      <c r="I1866" s="693"/>
      <c r="J1866" s="693"/>
      <c r="K1866" s="693"/>
      <c r="L1866" s="693"/>
      <c r="M1866" s="693"/>
      <c r="N1866" s="693"/>
      <c r="O1866" s="693"/>
      <c r="P1866" s="693"/>
      <c r="Q1866" s="693"/>
    </row>
    <row r="1867" spans="1:17" ht="13.5">
      <c r="A1867" s="693"/>
      <c r="B1867" s="693"/>
      <c r="C1867" s="693"/>
      <c r="D1867" s="693"/>
      <c r="E1867" s="693"/>
      <c r="F1867" s="693"/>
      <c r="G1867" s="693"/>
      <c r="H1867" s="693"/>
      <c r="I1867" s="693"/>
      <c r="J1867" s="693"/>
      <c r="K1867" s="693"/>
      <c r="L1867" s="693"/>
      <c r="M1867" s="693"/>
      <c r="N1867" s="693"/>
      <c r="O1867" s="693"/>
      <c r="P1867" s="693"/>
      <c r="Q1867" s="693"/>
    </row>
    <row r="1868" spans="1:17" ht="13.5">
      <c r="A1868" s="693"/>
      <c r="B1868" s="693"/>
      <c r="C1868" s="693"/>
      <c r="D1868" s="693"/>
      <c r="E1868" s="693"/>
      <c r="F1868" s="693"/>
      <c r="G1868" s="693"/>
      <c r="H1868" s="693"/>
      <c r="I1868" s="693"/>
      <c r="J1868" s="693"/>
      <c r="K1868" s="693"/>
      <c r="L1868" s="693"/>
      <c r="M1868" s="693"/>
      <c r="N1868" s="693"/>
      <c r="O1868" s="693"/>
      <c r="P1868" s="693"/>
      <c r="Q1868" s="693"/>
    </row>
    <row r="1869" spans="1:17" ht="13.5">
      <c r="A1869" s="693"/>
      <c r="B1869" s="693"/>
      <c r="C1869" s="693"/>
      <c r="D1869" s="693"/>
      <c r="E1869" s="693"/>
      <c r="F1869" s="693"/>
      <c r="G1869" s="693"/>
      <c r="H1869" s="693"/>
      <c r="I1869" s="693"/>
      <c r="J1869" s="693"/>
      <c r="K1869" s="693"/>
      <c r="L1869" s="693"/>
      <c r="M1869" s="693"/>
      <c r="N1869" s="693"/>
      <c r="O1869" s="693"/>
      <c r="P1869" s="693"/>
      <c r="Q1869" s="693"/>
    </row>
    <row r="1870" spans="1:17" ht="13.5">
      <c r="A1870" s="693"/>
      <c r="B1870" s="693"/>
      <c r="C1870" s="693"/>
      <c r="D1870" s="693"/>
      <c r="E1870" s="693"/>
      <c r="F1870" s="693"/>
      <c r="G1870" s="693"/>
      <c r="H1870" s="693"/>
      <c r="I1870" s="693"/>
      <c r="J1870" s="693"/>
      <c r="K1870" s="693"/>
      <c r="L1870" s="693"/>
      <c r="M1870" s="693"/>
      <c r="N1870" s="693"/>
      <c r="O1870" s="693"/>
      <c r="P1870" s="693"/>
      <c r="Q1870" s="693"/>
    </row>
    <row r="1871" spans="1:17" ht="13.5">
      <c r="A1871" s="693"/>
      <c r="B1871" s="693"/>
      <c r="C1871" s="693"/>
      <c r="D1871" s="693"/>
      <c r="E1871" s="693"/>
      <c r="F1871" s="693"/>
      <c r="G1871" s="693"/>
      <c r="H1871" s="693"/>
      <c r="I1871" s="693"/>
      <c r="J1871" s="693"/>
      <c r="K1871" s="693"/>
      <c r="L1871" s="693"/>
      <c r="M1871" s="693"/>
      <c r="N1871" s="693"/>
      <c r="O1871" s="693"/>
      <c r="P1871" s="693"/>
      <c r="Q1871" s="693"/>
    </row>
    <row r="1872" spans="1:17" ht="13.5">
      <c r="A1872" s="693"/>
      <c r="B1872" s="693"/>
      <c r="C1872" s="693"/>
      <c r="D1872" s="693"/>
      <c r="E1872" s="693"/>
      <c r="F1872" s="693"/>
      <c r="G1872" s="693"/>
      <c r="H1872" s="693"/>
      <c r="I1872" s="693"/>
      <c r="J1872" s="693"/>
      <c r="K1872" s="693"/>
      <c r="L1872" s="693"/>
      <c r="M1872" s="693"/>
      <c r="N1872" s="693"/>
      <c r="O1872" s="693"/>
      <c r="P1872" s="693"/>
      <c r="Q1872" s="693"/>
    </row>
    <row r="1873" spans="1:17" ht="13.5">
      <c r="A1873" s="693"/>
      <c r="B1873" s="693"/>
      <c r="C1873" s="693"/>
      <c r="D1873" s="693"/>
      <c r="E1873" s="693"/>
      <c r="F1873" s="693"/>
      <c r="G1873" s="693"/>
      <c r="H1873" s="693"/>
      <c r="I1873" s="693"/>
      <c r="J1873" s="693"/>
      <c r="K1873" s="693"/>
      <c r="L1873" s="693"/>
      <c r="M1873" s="693"/>
      <c r="N1873" s="693"/>
      <c r="O1873" s="693"/>
      <c r="P1873" s="693"/>
      <c r="Q1873" s="693"/>
    </row>
    <row r="1874" spans="1:17" ht="13.5">
      <c r="A1874" s="693"/>
      <c r="B1874" s="693"/>
      <c r="C1874" s="693"/>
      <c r="D1874" s="693"/>
      <c r="E1874" s="693"/>
      <c r="F1874" s="693"/>
      <c r="G1874" s="693"/>
      <c r="H1874" s="693"/>
      <c r="I1874" s="693"/>
      <c r="J1874" s="693"/>
      <c r="K1874" s="693"/>
      <c r="L1874" s="693"/>
      <c r="M1874" s="693"/>
      <c r="N1874" s="693"/>
      <c r="O1874" s="693"/>
      <c r="P1874" s="693"/>
      <c r="Q1874" s="693"/>
    </row>
    <row r="1875" spans="1:17" ht="13.5">
      <c r="A1875" s="693"/>
      <c r="B1875" s="693"/>
      <c r="C1875" s="693"/>
      <c r="D1875" s="693"/>
      <c r="E1875" s="693"/>
      <c r="F1875" s="693"/>
      <c r="G1875" s="693"/>
      <c r="H1875" s="693"/>
      <c r="I1875" s="693"/>
      <c r="J1875" s="693"/>
      <c r="K1875" s="693"/>
      <c r="L1875" s="693"/>
      <c r="M1875" s="693"/>
      <c r="N1875" s="693"/>
      <c r="O1875" s="693"/>
      <c r="P1875" s="693"/>
      <c r="Q1875" s="693"/>
    </row>
    <row r="1876" spans="1:17" ht="13.5">
      <c r="A1876" s="693"/>
      <c r="B1876" s="693"/>
      <c r="C1876" s="693"/>
      <c r="D1876" s="693"/>
      <c r="E1876" s="693"/>
      <c r="F1876" s="693"/>
      <c r="G1876" s="693"/>
      <c r="H1876" s="693"/>
      <c r="I1876" s="693"/>
      <c r="J1876" s="693"/>
      <c r="K1876" s="693"/>
      <c r="L1876" s="693"/>
      <c r="M1876" s="693"/>
      <c r="N1876" s="693"/>
      <c r="O1876" s="693"/>
      <c r="P1876" s="693"/>
      <c r="Q1876" s="693"/>
    </row>
    <row r="1877" spans="1:17" ht="13.5">
      <c r="A1877" s="693"/>
      <c r="B1877" s="693"/>
      <c r="C1877" s="693"/>
      <c r="D1877" s="693"/>
      <c r="E1877" s="693"/>
      <c r="F1877" s="693"/>
      <c r="G1877" s="693"/>
      <c r="H1877" s="693"/>
      <c r="I1877" s="693"/>
      <c r="J1877" s="693"/>
      <c r="K1877" s="693"/>
      <c r="L1877" s="693"/>
      <c r="M1877" s="693"/>
      <c r="N1877" s="693"/>
      <c r="O1877" s="693"/>
      <c r="P1877" s="693"/>
      <c r="Q1877" s="693"/>
    </row>
    <row r="1878" spans="1:17" ht="13.5">
      <c r="A1878" s="693"/>
      <c r="B1878" s="693"/>
      <c r="C1878" s="693"/>
      <c r="D1878" s="693"/>
      <c r="E1878" s="693"/>
      <c r="F1878" s="693"/>
      <c r="G1878" s="693"/>
      <c r="H1878" s="693"/>
      <c r="I1878" s="693"/>
      <c r="J1878" s="693"/>
      <c r="K1878" s="693"/>
      <c r="L1878" s="693"/>
      <c r="M1878" s="693"/>
      <c r="N1878" s="693"/>
      <c r="O1878" s="693"/>
      <c r="P1878" s="693"/>
      <c r="Q1878" s="693"/>
    </row>
    <row r="1879" spans="1:17" ht="13.5">
      <c r="A1879" s="693"/>
      <c r="B1879" s="693"/>
      <c r="C1879" s="693"/>
      <c r="D1879" s="693"/>
      <c r="E1879" s="693"/>
      <c r="F1879" s="693"/>
      <c r="G1879" s="693"/>
      <c r="H1879" s="693"/>
      <c r="I1879" s="693"/>
      <c r="J1879" s="693"/>
      <c r="K1879" s="693"/>
      <c r="L1879" s="693"/>
      <c r="M1879" s="693"/>
      <c r="N1879" s="693"/>
      <c r="O1879" s="693"/>
      <c r="P1879" s="693"/>
      <c r="Q1879" s="693"/>
    </row>
    <row r="1880" spans="1:17" ht="13.5">
      <c r="A1880" s="693"/>
      <c r="B1880" s="693"/>
      <c r="C1880" s="693"/>
      <c r="D1880" s="693"/>
      <c r="E1880" s="693"/>
      <c r="F1880" s="693"/>
      <c r="G1880" s="693"/>
      <c r="H1880" s="693"/>
      <c r="I1880" s="693"/>
      <c r="J1880" s="693"/>
      <c r="K1880" s="693"/>
      <c r="L1880" s="693"/>
      <c r="M1880" s="693"/>
      <c r="N1880" s="693"/>
      <c r="O1880" s="693"/>
      <c r="P1880" s="693"/>
      <c r="Q1880" s="693"/>
    </row>
    <row r="1881" spans="1:17" ht="13.5">
      <c r="A1881" s="693"/>
      <c r="B1881" s="693"/>
      <c r="C1881" s="693"/>
      <c r="D1881" s="693"/>
      <c r="E1881" s="693"/>
      <c r="F1881" s="693"/>
      <c r="G1881" s="693"/>
      <c r="H1881" s="693"/>
      <c r="I1881" s="693"/>
      <c r="J1881" s="693"/>
      <c r="K1881" s="693"/>
      <c r="L1881" s="693"/>
      <c r="M1881" s="693"/>
      <c r="N1881" s="693"/>
      <c r="O1881" s="693"/>
      <c r="P1881" s="693"/>
      <c r="Q1881" s="693"/>
    </row>
    <row r="1882" spans="1:17" ht="13.5">
      <c r="A1882" s="693"/>
      <c r="B1882" s="693"/>
      <c r="C1882" s="693"/>
      <c r="D1882" s="693"/>
      <c r="E1882" s="693"/>
      <c r="F1882" s="693"/>
      <c r="G1882" s="693"/>
      <c r="H1882" s="693"/>
      <c r="I1882" s="693"/>
      <c r="J1882" s="693"/>
      <c r="K1882" s="693"/>
      <c r="L1882" s="693"/>
      <c r="M1882" s="693"/>
      <c r="N1882" s="693"/>
      <c r="O1882" s="693"/>
      <c r="P1882" s="693"/>
      <c r="Q1882" s="693"/>
    </row>
    <row r="1883" spans="1:17" ht="13.5">
      <c r="A1883" s="693"/>
      <c r="B1883" s="693"/>
      <c r="C1883" s="693"/>
      <c r="D1883" s="693"/>
      <c r="E1883" s="693"/>
      <c r="F1883" s="693"/>
      <c r="G1883" s="693"/>
      <c r="H1883" s="693"/>
      <c r="I1883" s="693"/>
      <c r="J1883" s="693"/>
      <c r="K1883" s="693"/>
      <c r="L1883" s="693"/>
      <c r="M1883" s="693"/>
      <c r="N1883" s="693"/>
      <c r="O1883" s="693"/>
      <c r="P1883" s="693"/>
      <c r="Q1883" s="693"/>
    </row>
    <row r="1884" spans="1:17" ht="13.5">
      <c r="A1884" s="693"/>
      <c r="B1884" s="693"/>
      <c r="C1884" s="693"/>
      <c r="D1884" s="693"/>
      <c r="E1884" s="693"/>
      <c r="F1884" s="693"/>
      <c r="G1884" s="693"/>
      <c r="H1884" s="693"/>
      <c r="I1884" s="693"/>
      <c r="J1884" s="693"/>
      <c r="K1884" s="693"/>
      <c r="L1884" s="693"/>
      <c r="M1884" s="693"/>
      <c r="N1884" s="693"/>
      <c r="O1884" s="693"/>
      <c r="P1884" s="693"/>
      <c r="Q1884" s="693"/>
    </row>
    <row r="1885" spans="1:17" ht="13.5">
      <c r="A1885" s="693"/>
      <c r="B1885" s="693"/>
      <c r="C1885" s="693"/>
      <c r="D1885" s="693"/>
      <c r="E1885" s="693"/>
      <c r="F1885" s="693"/>
      <c r="G1885" s="693"/>
      <c r="H1885" s="693"/>
      <c r="I1885" s="693"/>
      <c r="J1885" s="693"/>
      <c r="K1885" s="693"/>
      <c r="L1885" s="693"/>
      <c r="M1885" s="693"/>
      <c r="N1885" s="693"/>
      <c r="O1885" s="693"/>
      <c r="P1885" s="693"/>
      <c r="Q1885" s="693"/>
    </row>
    <row r="1886" spans="1:17" ht="13.5">
      <c r="A1886" s="693"/>
      <c r="B1886" s="693"/>
      <c r="C1886" s="693"/>
      <c r="D1886" s="693"/>
      <c r="E1886" s="693"/>
      <c r="F1886" s="693"/>
      <c r="G1886" s="693"/>
      <c r="H1886" s="693"/>
      <c r="I1886" s="693"/>
      <c r="J1886" s="693"/>
      <c r="K1886" s="693"/>
      <c r="L1886" s="693"/>
      <c r="M1886" s="693"/>
      <c r="N1886" s="693"/>
      <c r="O1886" s="693"/>
      <c r="P1886" s="693"/>
      <c r="Q1886" s="693"/>
    </row>
    <row r="1887" spans="1:17" ht="13.5">
      <c r="A1887" s="693"/>
      <c r="B1887" s="693"/>
      <c r="C1887" s="693"/>
      <c r="D1887" s="693"/>
      <c r="E1887" s="693"/>
      <c r="F1887" s="693"/>
      <c r="G1887" s="693"/>
      <c r="H1887" s="693"/>
      <c r="I1887" s="693"/>
      <c r="J1887" s="693"/>
      <c r="K1887" s="693"/>
      <c r="L1887" s="693"/>
      <c r="M1887" s="693"/>
      <c r="N1887" s="693"/>
      <c r="O1887" s="693"/>
      <c r="P1887" s="693"/>
      <c r="Q1887" s="693"/>
    </row>
    <row r="1888" spans="1:17" ht="13.5">
      <c r="A1888" s="693"/>
      <c r="B1888" s="693"/>
      <c r="C1888" s="693"/>
      <c r="D1888" s="693"/>
      <c r="E1888" s="693"/>
      <c r="F1888" s="693"/>
      <c r="G1888" s="693"/>
      <c r="H1888" s="693"/>
      <c r="I1888" s="693"/>
      <c r="J1888" s="693"/>
      <c r="K1888" s="693"/>
      <c r="L1888" s="693"/>
      <c r="M1888" s="693"/>
      <c r="N1888" s="693"/>
      <c r="O1888" s="693"/>
      <c r="P1888" s="693"/>
      <c r="Q1888" s="693"/>
    </row>
    <row r="1889" spans="1:17" ht="13.5">
      <c r="A1889" s="693"/>
      <c r="B1889" s="693"/>
      <c r="C1889" s="693"/>
      <c r="D1889" s="693"/>
      <c r="E1889" s="693"/>
      <c r="F1889" s="693"/>
      <c r="G1889" s="693"/>
      <c r="H1889" s="693"/>
      <c r="I1889" s="693"/>
      <c r="J1889" s="693"/>
      <c r="K1889" s="693"/>
      <c r="L1889" s="693"/>
      <c r="M1889" s="693"/>
      <c r="N1889" s="693"/>
      <c r="O1889" s="693"/>
      <c r="P1889" s="693"/>
      <c r="Q1889" s="693"/>
    </row>
    <row r="1890" spans="1:17" ht="13.5">
      <c r="A1890" s="693"/>
      <c r="B1890" s="693"/>
      <c r="C1890" s="693"/>
      <c r="D1890" s="693"/>
      <c r="E1890" s="693"/>
      <c r="F1890" s="693"/>
      <c r="G1890" s="693"/>
      <c r="H1890" s="693"/>
      <c r="I1890" s="693"/>
      <c r="J1890" s="693"/>
      <c r="K1890" s="693"/>
      <c r="L1890" s="693"/>
      <c r="M1890" s="693"/>
      <c r="N1890" s="693"/>
      <c r="O1890" s="693"/>
      <c r="P1890" s="693"/>
      <c r="Q1890" s="693"/>
    </row>
    <row r="1891" spans="1:17" ht="13.5">
      <c r="A1891" s="693"/>
      <c r="B1891" s="693"/>
      <c r="C1891" s="693"/>
      <c r="D1891" s="693"/>
      <c r="E1891" s="693"/>
      <c r="F1891" s="693"/>
      <c r="G1891" s="693"/>
      <c r="H1891" s="693"/>
      <c r="I1891" s="693"/>
      <c r="J1891" s="693"/>
      <c r="K1891" s="693"/>
      <c r="L1891" s="693"/>
      <c r="M1891" s="693"/>
      <c r="N1891" s="693"/>
      <c r="O1891" s="693"/>
      <c r="P1891" s="693"/>
      <c r="Q1891" s="693"/>
    </row>
    <row r="1892" spans="1:17" ht="13.5">
      <c r="A1892" s="693"/>
      <c r="B1892" s="693"/>
      <c r="C1892" s="693"/>
      <c r="D1892" s="693"/>
      <c r="E1892" s="693"/>
      <c r="F1892" s="693"/>
      <c r="G1892" s="693"/>
      <c r="H1892" s="693"/>
      <c r="I1892" s="693"/>
      <c r="J1892" s="693"/>
      <c r="K1892" s="693"/>
      <c r="L1892" s="693"/>
      <c r="M1892" s="693"/>
      <c r="N1892" s="693"/>
      <c r="O1892" s="693"/>
      <c r="P1892" s="693"/>
      <c r="Q1892" s="693"/>
    </row>
    <row r="1893" spans="1:17" ht="13.5">
      <c r="A1893" s="693"/>
      <c r="B1893" s="693"/>
      <c r="C1893" s="693"/>
      <c r="D1893" s="693"/>
      <c r="E1893" s="693"/>
      <c r="F1893" s="693"/>
      <c r="G1893" s="693"/>
      <c r="H1893" s="693"/>
      <c r="I1893" s="693"/>
      <c r="J1893" s="693"/>
      <c r="K1893" s="693"/>
      <c r="L1893" s="693"/>
      <c r="M1893" s="693"/>
      <c r="N1893" s="693"/>
      <c r="O1893" s="693"/>
      <c r="P1893" s="693"/>
      <c r="Q1893" s="693"/>
    </row>
    <row r="1894" spans="1:17" ht="13.5">
      <c r="A1894" s="693"/>
      <c r="B1894" s="693"/>
      <c r="C1894" s="693"/>
      <c r="D1894" s="693"/>
      <c r="E1894" s="693"/>
      <c r="F1894" s="693"/>
      <c r="G1894" s="693"/>
      <c r="H1894" s="693"/>
      <c r="I1894" s="693"/>
      <c r="J1894" s="693"/>
      <c r="K1894" s="693"/>
      <c r="L1894" s="693"/>
      <c r="M1894" s="693"/>
      <c r="N1894" s="693"/>
      <c r="O1894" s="693"/>
      <c r="P1894" s="693"/>
      <c r="Q1894" s="693"/>
    </row>
    <row r="1895" spans="1:17" ht="13.5">
      <c r="A1895" s="693"/>
      <c r="B1895" s="693"/>
      <c r="C1895" s="693"/>
      <c r="D1895" s="693"/>
      <c r="E1895" s="693"/>
      <c r="F1895" s="693"/>
      <c r="G1895" s="693"/>
      <c r="H1895" s="693"/>
      <c r="I1895" s="693"/>
      <c r="J1895" s="693"/>
      <c r="K1895" s="693"/>
      <c r="L1895" s="693"/>
      <c r="M1895" s="693"/>
      <c r="N1895" s="693"/>
      <c r="O1895" s="693"/>
      <c r="P1895" s="693"/>
      <c r="Q1895" s="693"/>
    </row>
    <row r="1896" spans="1:17" ht="13.5">
      <c r="A1896" s="693"/>
      <c r="B1896" s="693"/>
      <c r="C1896" s="693"/>
      <c r="D1896" s="693"/>
      <c r="E1896" s="693"/>
      <c r="F1896" s="693"/>
      <c r="G1896" s="693"/>
      <c r="H1896" s="693"/>
      <c r="I1896" s="693"/>
      <c r="J1896" s="693"/>
      <c r="K1896" s="693"/>
      <c r="L1896" s="693"/>
      <c r="M1896" s="693"/>
      <c r="N1896" s="693"/>
      <c r="O1896" s="693"/>
      <c r="P1896" s="693"/>
      <c r="Q1896" s="693"/>
    </row>
    <row r="1897" spans="1:17" ht="13.5">
      <c r="A1897" s="693"/>
      <c r="B1897" s="693"/>
      <c r="C1897" s="693"/>
      <c r="D1897" s="693"/>
      <c r="E1897" s="693"/>
      <c r="F1897" s="693"/>
      <c r="G1897" s="693"/>
      <c r="H1897" s="693"/>
      <c r="I1897" s="693"/>
      <c r="J1897" s="693"/>
      <c r="K1897" s="693"/>
      <c r="L1897" s="693"/>
      <c r="M1897" s="693"/>
      <c r="N1897" s="693"/>
      <c r="O1897" s="693"/>
      <c r="P1897" s="693"/>
      <c r="Q1897" s="693"/>
    </row>
    <row r="1898" spans="1:17" ht="13.5">
      <c r="A1898" s="693"/>
      <c r="B1898" s="693"/>
      <c r="C1898" s="693"/>
      <c r="D1898" s="693"/>
      <c r="E1898" s="693"/>
      <c r="F1898" s="693"/>
      <c r="G1898" s="693"/>
      <c r="H1898" s="693"/>
      <c r="I1898" s="693"/>
      <c r="J1898" s="693"/>
      <c r="K1898" s="693"/>
      <c r="L1898" s="693"/>
      <c r="M1898" s="693"/>
      <c r="N1898" s="693"/>
      <c r="O1898" s="693"/>
      <c r="P1898" s="693"/>
      <c r="Q1898" s="693"/>
    </row>
    <row r="1899" spans="1:17" ht="13.5">
      <c r="A1899" s="693"/>
      <c r="B1899" s="693"/>
      <c r="C1899" s="693"/>
      <c r="D1899" s="693"/>
      <c r="E1899" s="693"/>
      <c r="F1899" s="693"/>
      <c r="G1899" s="693"/>
      <c r="H1899" s="693"/>
      <c r="I1899" s="693"/>
      <c r="J1899" s="693"/>
      <c r="K1899" s="693"/>
      <c r="L1899" s="693"/>
      <c r="M1899" s="693"/>
      <c r="N1899" s="693"/>
      <c r="O1899" s="693"/>
      <c r="P1899" s="693"/>
      <c r="Q1899" s="693"/>
    </row>
    <row r="1900" spans="1:17" ht="13.5">
      <c r="A1900" s="693"/>
      <c r="B1900" s="693"/>
      <c r="C1900" s="693"/>
      <c r="D1900" s="693"/>
      <c r="E1900" s="693"/>
      <c r="F1900" s="693"/>
      <c r="G1900" s="693"/>
      <c r="H1900" s="693"/>
      <c r="I1900" s="693"/>
      <c r="J1900" s="693"/>
      <c r="K1900" s="693"/>
      <c r="L1900" s="693"/>
      <c r="M1900" s="693"/>
      <c r="N1900" s="693"/>
      <c r="O1900" s="693"/>
      <c r="P1900" s="693"/>
      <c r="Q1900" s="693"/>
    </row>
    <row r="1901" spans="1:17" ht="13.5">
      <c r="A1901" s="693"/>
      <c r="B1901" s="693"/>
      <c r="C1901" s="693"/>
      <c r="D1901" s="693"/>
      <c r="E1901" s="693"/>
      <c r="F1901" s="693"/>
      <c r="G1901" s="693"/>
      <c r="H1901" s="693"/>
      <c r="I1901" s="693"/>
      <c r="J1901" s="693"/>
      <c r="K1901" s="693"/>
      <c r="L1901" s="693"/>
      <c r="M1901" s="693"/>
      <c r="N1901" s="693"/>
      <c r="O1901" s="693"/>
      <c r="P1901" s="693"/>
      <c r="Q1901" s="693"/>
    </row>
    <row r="1902" spans="1:17" ht="13.5">
      <c r="A1902" s="693"/>
      <c r="B1902" s="693"/>
      <c r="C1902" s="693"/>
      <c r="D1902" s="693"/>
      <c r="E1902" s="693"/>
      <c r="F1902" s="693"/>
      <c r="G1902" s="693"/>
      <c r="H1902" s="693"/>
      <c r="I1902" s="693"/>
      <c r="J1902" s="693"/>
      <c r="K1902" s="693"/>
      <c r="L1902" s="693"/>
      <c r="M1902" s="693"/>
      <c r="N1902" s="693"/>
      <c r="O1902" s="693"/>
      <c r="P1902" s="693"/>
      <c r="Q1902" s="693"/>
    </row>
    <row r="1903" spans="1:17" ht="13.5">
      <c r="A1903" s="693"/>
      <c r="B1903" s="693"/>
      <c r="C1903" s="693"/>
      <c r="D1903" s="693"/>
      <c r="E1903" s="693"/>
      <c r="F1903" s="693"/>
      <c r="G1903" s="693"/>
      <c r="H1903" s="693"/>
      <c r="I1903" s="693"/>
      <c r="J1903" s="693"/>
      <c r="K1903" s="693"/>
      <c r="L1903" s="693"/>
      <c r="M1903" s="693"/>
      <c r="N1903" s="693"/>
      <c r="O1903" s="693"/>
      <c r="P1903" s="693"/>
      <c r="Q1903" s="693"/>
    </row>
    <row r="1904" spans="1:17" ht="13.5">
      <c r="A1904" s="693"/>
      <c r="B1904" s="693"/>
      <c r="C1904" s="693"/>
      <c r="D1904" s="693"/>
      <c r="E1904" s="693"/>
      <c r="F1904" s="693"/>
      <c r="G1904" s="693"/>
      <c r="H1904" s="693"/>
      <c r="I1904" s="693"/>
      <c r="J1904" s="693"/>
      <c r="K1904" s="693"/>
      <c r="L1904" s="693"/>
      <c r="M1904" s="693"/>
      <c r="N1904" s="693"/>
      <c r="O1904" s="693"/>
      <c r="P1904" s="693"/>
      <c r="Q1904" s="693"/>
    </row>
    <row r="1905" spans="1:17" ht="13.5">
      <c r="A1905" s="693"/>
      <c r="B1905" s="693"/>
      <c r="C1905" s="693"/>
      <c r="D1905" s="693"/>
      <c r="E1905" s="693"/>
      <c r="F1905" s="693"/>
      <c r="G1905" s="693"/>
      <c r="H1905" s="693"/>
      <c r="I1905" s="693"/>
      <c r="J1905" s="693"/>
      <c r="K1905" s="693"/>
      <c r="L1905" s="693"/>
      <c r="M1905" s="693"/>
      <c r="N1905" s="693"/>
      <c r="O1905" s="693"/>
      <c r="P1905" s="693"/>
      <c r="Q1905" s="693"/>
    </row>
    <row r="1906" spans="1:17" ht="13.5">
      <c r="A1906" s="693"/>
      <c r="B1906" s="693"/>
      <c r="C1906" s="693"/>
      <c r="D1906" s="693"/>
      <c r="E1906" s="693"/>
      <c r="F1906" s="693"/>
      <c r="G1906" s="693"/>
      <c r="H1906" s="693"/>
      <c r="I1906" s="693"/>
      <c r="J1906" s="693"/>
      <c r="K1906" s="693"/>
      <c r="L1906" s="693"/>
      <c r="M1906" s="693"/>
      <c r="N1906" s="693"/>
      <c r="O1906" s="693"/>
      <c r="P1906" s="693"/>
      <c r="Q1906" s="693"/>
    </row>
    <row r="1907" spans="1:17" ht="13.5">
      <c r="A1907" s="693"/>
      <c r="B1907" s="693"/>
      <c r="C1907" s="693"/>
      <c r="D1907" s="693"/>
      <c r="E1907" s="693"/>
      <c r="F1907" s="693"/>
      <c r="G1907" s="693"/>
      <c r="H1907" s="693"/>
      <c r="I1907" s="693"/>
      <c r="J1907" s="693"/>
      <c r="K1907" s="693"/>
      <c r="L1907" s="693"/>
      <c r="M1907" s="693"/>
      <c r="N1907" s="693"/>
      <c r="O1907" s="693"/>
      <c r="P1907" s="693"/>
      <c r="Q1907" s="693"/>
    </row>
    <row r="1908" spans="1:17" ht="13.5">
      <c r="A1908" s="693"/>
      <c r="B1908" s="693"/>
      <c r="C1908" s="693"/>
      <c r="D1908" s="693"/>
      <c r="E1908" s="693"/>
      <c r="F1908" s="693"/>
      <c r="G1908" s="693"/>
      <c r="H1908" s="693"/>
      <c r="I1908" s="693"/>
      <c r="J1908" s="693"/>
      <c r="K1908" s="693"/>
      <c r="L1908" s="693"/>
      <c r="M1908" s="693"/>
      <c r="N1908" s="693"/>
      <c r="O1908" s="693"/>
      <c r="P1908" s="693"/>
      <c r="Q1908" s="693"/>
    </row>
    <row r="1909" spans="1:17" ht="13.5">
      <c r="A1909" s="693"/>
      <c r="B1909" s="693"/>
      <c r="C1909" s="693"/>
      <c r="D1909" s="693"/>
      <c r="E1909" s="693"/>
      <c r="F1909" s="693"/>
      <c r="G1909" s="693"/>
      <c r="H1909" s="693"/>
      <c r="I1909" s="693"/>
      <c r="J1909" s="693"/>
      <c r="K1909" s="693"/>
      <c r="L1909" s="693"/>
      <c r="M1909" s="693"/>
      <c r="N1909" s="693"/>
      <c r="O1909" s="693"/>
      <c r="P1909" s="693"/>
      <c r="Q1909" s="693"/>
    </row>
    <row r="1910" spans="1:17" ht="13.5">
      <c r="A1910" s="693"/>
      <c r="B1910" s="693"/>
      <c r="C1910" s="693"/>
      <c r="D1910" s="693"/>
      <c r="E1910" s="693"/>
      <c r="F1910" s="693"/>
      <c r="G1910" s="693"/>
      <c r="H1910" s="693"/>
      <c r="I1910" s="693"/>
      <c r="J1910" s="693"/>
      <c r="K1910" s="693"/>
      <c r="L1910" s="693"/>
      <c r="M1910" s="693"/>
      <c r="N1910" s="693"/>
      <c r="O1910" s="693"/>
      <c r="P1910" s="693"/>
      <c r="Q1910" s="693"/>
    </row>
    <row r="1911" spans="1:17" ht="13.5">
      <c r="A1911" s="693"/>
      <c r="B1911" s="693"/>
      <c r="C1911" s="693"/>
      <c r="D1911" s="693"/>
      <c r="E1911" s="693"/>
      <c r="F1911" s="693"/>
      <c r="G1911" s="693"/>
      <c r="H1911" s="693"/>
      <c r="I1911" s="693"/>
      <c r="J1911" s="693"/>
      <c r="K1911" s="693"/>
      <c r="L1911" s="693"/>
      <c r="M1911" s="693"/>
      <c r="N1911" s="693"/>
      <c r="O1911" s="693"/>
      <c r="P1911" s="693"/>
      <c r="Q1911" s="693"/>
    </row>
    <row r="1912" spans="1:17" ht="13.5">
      <c r="A1912" s="693"/>
      <c r="B1912" s="693"/>
      <c r="C1912" s="693"/>
      <c r="D1912" s="693"/>
      <c r="E1912" s="693"/>
      <c r="F1912" s="693"/>
      <c r="G1912" s="693"/>
      <c r="H1912" s="693"/>
      <c r="I1912" s="693"/>
      <c r="J1912" s="693"/>
      <c r="K1912" s="693"/>
      <c r="L1912" s="693"/>
      <c r="M1912" s="693"/>
      <c r="N1912" s="693"/>
      <c r="O1912" s="693"/>
      <c r="P1912" s="693"/>
      <c r="Q1912" s="693"/>
    </row>
    <row r="1913" spans="1:17" ht="13.5">
      <c r="A1913" s="693"/>
      <c r="B1913" s="693"/>
      <c r="C1913" s="693"/>
      <c r="D1913" s="693"/>
      <c r="E1913" s="693"/>
      <c r="F1913" s="693"/>
      <c r="G1913" s="693"/>
      <c r="H1913" s="693"/>
      <c r="I1913" s="693"/>
      <c r="J1913" s="693"/>
      <c r="K1913" s="693"/>
      <c r="L1913" s="693"/>
      <c r="M1913" s="693"/>
      <c r="N1913" s="693"/>
      <c r="O1913" s="693"/>
      <c r="P1913" s="693"/>
      <c r="Q1913" s="693"/>
    </row>
    <row r="1914" spans="1:17" ht="13.5">
      <c r="A1914" s="693"/>
      <c r="B1914" s="693"/>
      <c r="C1914" s="693"/>
      <c r="D1914" s="693"/>
      <c r="E1914" s="693"/>
      <c r="F1914" s="693"/>
      <c r="G1914" s="693"/>
      <c r="H1914" s="693"/>
      <c r="I1914" s="693"/>
      <c r="J1914" s="693"/>
      <c r="K1914" s="693"/>
      <c r="L1914" s="693"/>
      <c r="M1914" s="693"/>
      <c r="N1914" s="693"/>
      <c r="O1914" s="693"/>
      <c r="P1914" s="693"/>
      <c r="Q1914" s="693"/>
    </row>
    <row r="1915" spans="1:17" ht="13.5">
      <c r="A1915" s="693"/>
      <c r="B1915" s="693"/>
      <c r="C1915" s="693"/>
      <c r="D1915" s="693"/>
      <c r="E1915" s="693"/>
      <c r="F1915" s="693"/>
      <c r="G1915" s="693"/>
      <c r="H1915" s="693"/>
      <c r="I1915" s="693"/>
      <c r="J1915" s="693"/>
      <c r="K1915" s="693"/>
      <c r="L1915" s="693"/>
      <c r="M1915" s="693"/>
      <c r="N1915" s="693"/>
      <c r="O1915" s="693"/>
      <c r="P1915" s="693"/>
      <c r="Q1915" s="693"/>
    </row>
    <row r="1916" spans="1:17" ht="13.5">
      <c r="A1916" s="693"/>
      <c r="B1916" s="693"/>
      <c r="C1916" s="693"/>
      <c r="D1916" s="693"/>
      <c r="E1916" s="693"/>
      <c r="F1916" s="693"/>
      <c r="G1916" s="693"/>
      <c r="H1916" s="693"/>
      <c r="I1916" s="693"/>
      <c r="J1916" s="693"/>
      <c r="K1916" s="693"/>
      <c r="L1916" s="693"/>
      <c r="M1916" s="693"/>
      <c r="N1916" s="693"/>
      <c r="O1916" s="693"/>
      <c r="P1916" s="693"/>
      <c r="Q1916" s="693"/>
    </row>
    <row r="1917" spans="1:17" ht="13.5">
      <c r="A1917" s="693"/>
      <c r="B1917" s="693"/>
      <c r="C1917" s="693"/>
      <c r="D1917" s="693"/>
      <c r="E1917" s="693"/>
      <c r="F1917" s="693"/>
      <c r="G1917" s="693"/>
      <c r="H1917" s="693"/>
      <c r="I1917" s="693"/>
      <c r="J1917" s="693"/>
      <c r="K1917" s="693"/>
      <c r="L1917" s="693"/>
      <c r="M1917" s="693"/>
      <c r="N1917" s="693"/>
      <c r="O1917" s="693"/>
      <c r="P1917" s="693"/>
      <c r="Q1917" s="693"/>
    </row>
    <row r="1918" spans="1:17" ht="13.5">
      <c r="A1918" s="693"/>
      <c r="B1918" s="693"/>
      <c r="C1918" s="693"/>
      <c r="D1918" s="693"/>
      <c r="E1918" s="693"/>
      <c r="F1918" s="693"/>
      <c r="G1918" s="693"/>
      <c r="H1918" s="693"/>
      <c r="I1918" s="693"/>
      <c r="J1918" s="693"/>
      <c r="K1918" s="693"/>
      <c r="L1918" s="693"/>
      <c r="M1918" s="693"/>
      <c r="N1918" s="693"/>
      <c r="O1918" s="693"/>
      <c r="P1918" s="693"/>
      <c r="Q1918" s="693"/>
    </row>
    <row r="1919" spans="1:17" ht="13.5">
      <c r="A1919" s="693"/>
      <c r="B1919" s="693"/>
      <c r="C1919" s="693"/>
      <c r="D1919" s="693"/>
      <c r="E1919" s="693"/>
      <c r="F1919" s="693"/>
      <c r="G1919" s="693"/>
      <c r="H1919" s="693"/>
      <c r="I1919" s="693"/>
      <c r="J1919" s="693"/>
      <c r="K1919" s="693"/>
      <c r="L1919" s="693"/>
      <c r="M1919" s="693"/>
      <c r="N1919" s="693"/>
      <c r="O1919" s="693"/>
      <c r="P1919" s="693"/>
      <c r="Q1919" s="693"/>
    </row>
    <row r="1920" spans="1:17" ht="13.5">
      <c r="A1920" s="693"/>
      <c r="B1920" s="693"/>
      <c r="C1920" s="693"/>
      <c r="D1920" s="693"/>
      <c r="E1920" s="693"/>
      <c r="F1920" s="693"/>
      <c r="G1920" s="693"/>
      <c r="H1920" s="693"/>
      <c r="I1920" s="693"/>
      <c r="J1920" s="693"/>
      <c r="K1920" s="693"/>
      <c r="L1920" s="693"/>
      <c r="M1920" s="693"/>
      <c r="N1920" s="693"/>
      <c r="O1920" s="693"/>
      <c r="P1920" s="693"/>
      <c r="Q1920" s="693"/>
    </row>
    <row r="1921" spans="1:17" ht="13.5">
      <c r="A1921" s="693"/>
      <c r="B1921" s="693"/>
      <c r="C1921" s="693"/>
      <c r="D1921" s="693"/>
      <c r="E1921" s="693"/>
      <c r="F1921" s="693"/>
      <c r="G1921" s="693"/>
      <c r="H1921" s="693"/>
      <c r="I1921" s="693"/>
      <c r="J1921" s="693"/>
      <c r="K1921" s="693"/>
      <c r="L1921" s="693"/>
      <c r="M1921" s="693"/>
      <c r="N1921" s="693"/>
      <c r="O1921" s="693"/>
      <c r="P1921" s="693"/>
      <c r="Q1921" s="693"/>
    </row>
    <row r="1922" spans="1:17" ht="13.5">
      <c r="A1922" s="693"/>
      <c r="B1922" s="693"/>
      <c r="C1922" s="693"/>
      <c r="D1922" s="693"/>
      <c r="E1922" s="693"/>
      <c r="F1922" s="693"/>
      <c r="G1922" s="693"/>
      <c r="H1922" s="693"/>
      <c r="I1922" s="693"/>
      <c r="J1922" s="693"/>
      <c r="K1922" s="693"/>
      <c r="L1922" s="693"/>
      <c r="M1922" s="693"/>
      <c r="N1922" s="693"/>
      <c r="O1922" s="693"/>
      <c r="P1922" s="693"/>
      <c r="Q1922" s="693"/>
    </row>
    <row r="1923" spans="1:17" ht="13.5">
      <c r="A1923" s="693"/>
      <c r="B1923" s="693"/>
      <c r="C1923" s="693"/>
      <c r="D1923" s="693"/>
      <c r="E1923" s="693"/>
      <c r="F1923" s="693"/>
      <c r="G1923" s="693"/>
      <c r="H1923" s="693"/>
      <c r="I1923" s="693"/>
      <c r="J1923" s="693"/>
      <c r="K1923" s="693"/>
      <c r="L1923" s="693"/>
      <c r="M1923" s="693"/>
      <c r="N1923" s="693"/>
      <c r="O1923" s="693"/>
      <c r="P1923" s="693"/>
      <c r="Q1923" s="693"/>
    </row>
    <row r="1924" spans="1:17" ht="13.5">
      <c r="A1924" s="693"/>
      <c r="B1924" s="693"/>
      <c r="C1924" s="693"/>
      <c r="D1924" s="693"/>
      <c r="E1924" s="693"/>
      <c r="F1924" s="693"/>
      <c r="G1924" s="693"/>
      <c r="H1924" s="693"/>
      <c r="I1924" s="693"/>
      <c r="J1924" s="693"/>
      <c r="K1924" s="693"/>
      <c r="L1924" s="693"/>
      <c r="M1924" s="693"/>
      <c r="N1924" s="693"/>
      <c r="O1924" s="693"/>
      <c r="P1924" s="693"/>
      <c r="Q1924" s="693"/>
    </row>
    <row r="1925" spans="1:17" ht="13.5">
      <c r="A1925" s="693"/>
      <c r="B1925" s="693"/>
      <c r="C1925" s="693"/>
      <c r="D1925" s="693"/>
      <c r="E1925" s="693"/>
      <c r="F1925" s="693"/>
      <c r="G1925" s="693"/>
      <c r="H1925" s="693"/>
      <c r="I1925" s="693"/>
      <c r="J1925" s="693"/>
      <c r="K1925" s="693"/>
      <c r="L1925" s="693"/>
      <c r="M1925" s="693"/>
      <c r="N1925" s="693"/>
      <c r="O1925" s="693"/>
      <c r="P1925" s="693"/>
      <c r="Q1925" s="693"/>
    </row>
    <row r="1926" spans="1:17" ht="13.5">
      <c r="A1926" s="693"/>
      <c r="B1926" s="693"/>
      <c r="C1926" s="693"/>
      <c r="D1926" s="693"/>
      <c r="E1926" s="693"/>
      <c r="F1926" s="693"/>
      <c r="G1926" s="693"/>
      <c r="H1926" s="693"/>
      <c r="I1926" s="693"/>
      <c r="J1926" s="693"/>
      <c r="K1926" s="693"/>
      <c r="L1926" s="693"/>
      <c r="M1926" s="693"/>
      <c r="N1926" s="693"/>
      <c r="O1926" s="693"/>
      <c r="P1926" s="693"/>
      <c r="Q1926" s="693"/>
    </row>
    <row r="1927" spans="1:17" ht="13.5">
      <c r="A1927" s="693"/>
      <c r="B1927" s="693"/>
      <c r="C1927" s="693"/>
      <c r="D1927" s="693"/>
      <c r="E1927" s="693"/>
      <c r="F1927" s="693"/>
      <c r="G1927" s="693"/>
      <c r="H1927" s="693"/>
      <c r="I1927" s="693"/>
      <c r="J1927" s="693"/>
      <c r="K1927" s="693"/>
      <c r="L1927" s="693"/>
      <c r="M1927" s="693"/>
      <c r="N1927" s="693"/>
      <c r="O1927" s="693"/>
      <c r="P1927" s="693"/>
      <c r="Q1927" s="693"/>
    </row>
    <row r="1928" spans="1:17" ht="13.5">
      <c r="A1928" s="693"/>
      <c r="B1928" s="693"/>
      <c r="C1928" s="693"/>
      <c r="D1928" s="693"/>
      <c r="E1928" s="693"/>
      <c r="F1928" s="693"/>
      <c r="G1928" s="693"/>
      <c r="H1928" s="693"/>
      <c r="I1928" s="693"/>
      <c r="J1928" s="693"/>
      <c r="K1928" s="693"/>
      <c r="L1928" s="693"/>
      <c r="M1928" s="693"/>
      <c r="N1928" s="693"/>
      <c r="O1928" s="693"/>
      <c r="P1928" s="693"/>
      <c r="Q1928" s="693"/>
    </row>
    <row r="1929" spans="1:17" ht="13.5">
      <c r="A1929" s="693"/>
      <c r="B1929" s="693"/>
      <c r="C1929" s="693"/>
      <c r="D1929" s="693"/>
      <c r="E1929" s="693"/>
      <c r="F1929" s="693"/>
      <c r="G1929" s="693"/>
      <c r="H1929" s="693"/>
      <c r="I1929" s="693"/>
      <c r="J1929" s="693"/>
      <c r="K1929" s="693"/>
      <c r="L1929" s="693"/>
      <c r="M1929" s="693"/>
      <c r="N1929" s="693"/>
      <c r="O1929" s="693"/>
      <c r="P1929" s="693"/>
      <c r="Q1929" s="693"/>
    </row>
    <row r="1930" spans="1:17" ht="13.5">
      <c r="A1930" s="693"/>
      <c r="B1930" s="693"/>
      <c r="C1930" s="693"/>
      <c r="D1930" s="693"/>
      <c r="E1930" s="693"/>
      <c r="F1930" s="693"/>
      <c r="G1930" s="693"/>
      <c r="H1930" s="693"/>
      <c r="I1930" s="693"/>
      <c r="J1930" s="693"/>
      <c r="K1930" s="693"/>
      <c r="L1930" s="693"/>
      <c r="M1930" s="693"/>
      <c r="N1930" s="693"/>
      <c r="O1930" s="693"/>
      <c r="P1930" s="693"/>
      <c r="Q1930" s="693"/>
    </row>
    <row r="1931" spans="1:17" ht="13.5">
      <c r="A1931" s="693"/>
      <c r="B1931" s="693"/>
      <c r="C1931" s="693"/>
      <c r="D1931" s="693"/>
      <c r="E1931" s="693"/>
      <c r="F1931" s="693"/>
      <c r="G1931" s="693"/>
      <c r="H1931" s="693"/>
      <c r="I1931" s="693"/>
      <c r="J1931" s="693"/>
      <c r="K1931" s="693"/>
      <c r="L1931" s="693"/>
      <c r="M1931" s="693"/>
      <c r="N1931" s="693"/>
      <c r="O1931" s="693"/>
      <c r="P1931" s="693"/>
      <c r="Q1931" s="693"/>
    </row>
    <row r="1932" spans="1:17" ht="13.5">
      <c r="A1932" s="693"/>
      <c r="B1932" s="693"/>
      <c r="C1932" s="693"/>
      <c r="D1932" s="693"/>
      <c r="E1932" s="693"/>
      <c r="F1932" s="693"/>
      <c r="G1932" s="693"/>
      <c r="H1932" s="693"/>
      <c r="I1932" s="693"/>
      <c r="J1932" s="693"/>
      <c r="K1932" s="693"/>
      <c r="L1932" s="693"/>
      <c r="M1932" s="693"/>
      <c r="N1932" s="693"/>
      <c r="O1932" s="693"/>
      <c r="P1932" s="693"/>
      <c r="Q1932" s="693"/>
    </row>
    <row r="1933" spans="1:17" ht="13.5">
      <c r="A1933" s="693"/>
      <c r="B1933" s="693"/>
      <c r="C1933" s="693"/>
      <c r="D1933" s="693"/>
      <c r="E1933" s="693"/>
      <c r="F1933" s="693"/>
      <c r="G1933" s="693"/>
      <c r="H1933" s="693"/>
      <c r="I1933" s="693"/>
      <c r="J1933" s="693"/>
      <c r="K1933" s="693"/>
      <c r="L1933" s="693"/>
      <c r="M1933" s="693"/>
      <c r="N1933" s="693"/>
      <c r="O1933" s="693"/>
      <c r="P1933" s="693"/>
      <c r="Q1933" s="693"/>
    </row>
    <row r="1934" spans="1:17" ht="13.5">
      <c r="A1934" s="693"/>
      <c r="B1934" s="693"/>
      <c r="C1934" s="693"/>
      <c r="D1934" s="693"/>
      <c r="E1934" s="693"/>
      <c r="F1934" s="693"/>
      <c r="G1934" s="693"/>
      <c r="H1934" s="693"/>
      <c r="I1934" s="693"/>
      <c r="J1934" s="693"/>
      <c r="K1934" s="693"/>
      <c r="L1934" s="693"/>
      <c r="M1934" s="693"/>
      <c r="N1934" s="693"/>
      <c r="O1934" s="693"/>
      <c r="P1934" s="693"/>
      <c r="Q1934" s="693"/>
    </row>
    <row r="1935" spans="1:17" ht="13.5">
      <c r="A1935" s="693"/>
      <c r="B1935" s="693"/>
      <c r="C1935" s="693"/>
      <c r="D1935" s="693"/>
      <c r="E1935" s="693"/>
      <c r="F1935" s="693"/>
      <c r="G1935" s="693"/>
      <c r="H1935" s="693"/>
      <c r="I1935" s="693"/>
      <c r="J1935" s="693"/>
      <c r="K1935" s="693"/>
      <c r="L1935" s="693"/>
      <c r="M1935" s="693"/>
      <c r="N1935" s="693"/>
      <c r="O1935" s="693"/>
      <c r="P1935" s="693"/>
      <c r="Q1935" s="693"/>
    </row>
    <row r="1936" spans="1:17" ht="13.5">
      <c r="A1936" s="693"/>
      <c r="B1936" s="693"/>
      <c r="C1936" s="693"/>
      <c r="D1936" s="693"/>
      <c r="E1936" s="693"/>
      <c r="F1936" s="693"/>
      <c r="G1936" s="693"/>
      <c r="H1936" s="693"/>
      <c r="I1936" s="693"/>
      <c r="J1936" s="693"/>
      <c r="K1936" s="693"/>
      <c r="L1936" s="693"/>
      <c r="M1936" s="693"/>
      <c r="N1936" s="693"/>
      <c r="O1936" s="693"/>
      <c r="P1936" s="693"/>
      <c r="Q1936" s="693"/>
    </row>
    <row r="1937" spans="1:17" ht="13.5">
      <c r="A1937" s="693"/>
      <c r="B1937" s="693"/>
      <c r="C1937" s="693"/>
      <c r="D1937" s="693"/>
      <c r="E1937" s="693"/>
      <c r="F1937" s="693"/>
      <c r="G1937" s="693"/>
      <c r="H1937" s="693"/>
      <c r="I1937" s="693"/>
      <c r="J1937" s="693"/>
      <c r="K1937" s="693"/>
      <c r="L1937" s="693"/>
      <c r="M1937" s="693"/>
      <c r="N1937" s="693"/>
      <c r="O1937" s="693"/>
      <c r="P1937" s="693"/>
      <c r="Q1937" s="693"/>
    </row>
    <row r="1938" spans="1:17" ht="13.5">
      <c r="A1938" s="693"/>
      <c r="B1938" s="693"/>
      <c r="C1938" s="693"/>
      <c r="D1938" s="693"/>
      <c r="E1938" s="693"/>
      <c r="F1938" s="693"/>
      <c r="G1938" s="693"/>
      <c r="H1938" s="693"/>
      <c r="I1938" s="693"/>
      <c r="J1938" s="693"/>
      <c r="K1938" s="693"/>
      <c r="L1938" s="693"/>
      <c r="M1938" s="693"/>
      <c r="N1938" s="693"/>
      <c r="O1938" s="693"/>
      <c r="P1938" s="693"/>
      <c r="Q1938" s="693"/>
    </row>
    <row r="1939" spans="1:17" ht="13.5">
      <c r="A1939" s="693"/>
      <c r="B1939" s="693"/>
      <c r="C1939" s="693"/>
      <c r="D1939" s="693"/>
      <c r="E1939" s="693"/>
      <c r="F1939" s="693"/>
      <c r="G1939" s="693"/>
      <c r="H1939" s="693"/>
      <c r="I1939" s="693"/>
      <c r="J1939" s="693"/>
      <c r="K1939" s="693"/>
      <c r="L1939" s="693"/>
      <c r="M1939" s="693"/>
      <c r="N1939" s="693"/>
      <c r="O1939" s="693"/>
      <c r="P1939" s="693"/>
      <c r="Q1939" s="693"/>
    </row>
    <row r="1940" spans="1:17" ht="13.5">
      <c r="A1940" s="693"/>
      <c r="B1940" s="693"/>
      <c r="C1940" s="693"/>
      <c r="D1940" s="693"/>
      <c r="E1940" s="693"/>
      <c r="F1940" s="693"/>
      <c r="G1940" s="693"/>
      <c r="H1940" s="693"/>
      <c r="I1940" s="693"/>
      <c r="J1940" s="693"/>
      <c r="K1940" s="693"/>
      <c r="L1940" s="693"/>
      <c r="M1940" s="693"/>
      <c r="N1940" s="693"/>
      <c r="O1940" s="693"/>
      <c r="P1940" s="693"/>
      <c r="Q1940" s="693"/>
    </row>
    <row r="1941" spans="1:17" ht="13.5">
      <c r="A1941" s="693"/>
      <c r="B1941" s="693"/>
      <c r="C1941" s="693"/>
      <c r="D1941" s="693"/>
      <c r="E1941" s="693"/>
      <c r="F1941" s="693"/>
      <c r="G1941" s="693"/>
      <c r="H1941" s="693"/>
      <c r="I1941" s="693"/>
      <c r="J1941" s="693"/>
      <c r="K1941" s="693"/>
      <c r="L1941" s="693"/>
      <c r="M1941" s="693"/>
      <c r="N1941" s="693"/>
      <c r="O1941" s="693"/>
      <c r="P1941" s="693"/>
      <c r="Q1941" s="693"/>
    </row>
    <row r="1942" spans="1:17" ht="13.5">
      <c r="A1942" s="693"/>
      <c r="B1942" s="693"/>
      <c r="C1942" s="693"/>
      <c r="D1942" s="693"/>
      <c r="E1942" s="693"/>
      <c r="F1942" s="693"/>
      <c r="G1942" s="693"/>
      <c r="H1942" s="693"/>
      <c r="I1942" s="693"/>
      <c r="J1942" s="693"/>
      <c r="K1942" s="693"/>
      <c r="L1942" s="693"/>
      <c r="M1942" s="693"/>
      <c r="N1942" s="693"/>
      <c r="O1942" s="693"/>
      <c r="P1942" s="693"/>
      <c r="Q1942" s="693"/>
    </row>
    <row r="1943" spans="1:17" ht="13.5">
      <c r="A1943" s="693"/>
      <c r="B1943" s="693"/>
      <c r="C1943" s="693"/>
      <c r="D1943" s="693"/>
      <c r="E1943" s="693"/>
      <c r="F1943" s="693"/>
      <c r="G1943" s="693"/>
      <c r="H1943" s="693"/>
      <c r="I1943" s="693"/>
      <c r="J1943" s="693"/>
      <c r="K1943" s="693"/>
      <c r="L1943" s="693"/>
      <c r="M1943" s="693"/>
      <c r="N1943" s="693"/>
      <c r="O1943" s="693"/>
      <c r="P1943" s="693"/>
      <c r="Q1943" s="693"/>
    </row>
    <row r="1944" spans="1:17" ht="13.5">
      <c r="A1944" s="693"/>
      <c r="B1944" s="693"/>
      <c r="C1944" s="693"/>
      <c r="D1944" s="693"/>
      <c r="E1944" s="693"/>
      <c r="F1944" s="693"/>
      <c r="G1944" s="693"/>
      <c r="H1944" s="693"/>
      <c r="I1944" s="693"/>
      <c r="J1944" s="693"/>
      <c r="K1944" s="693"/>
      <c r="L1944" s="693"/>
      <c r="M1944" s="693"/>
      <c r="N1944" s="693"/>
      <c r="O1944" s="693"/>
      <c r="P1944" s="693"/>
      <c r="Q1944" s="693"/>
    </row>
    <row r="1945" spans="1:17" ht="13.5">
      <c r="A1945" s="693"/>
      <c r="B1945" s="693"/>
      <c r="C1945" s="693"/>
      <c r="D1945" s="693"/>
      <c r="E1945" s="693"/>
      <c r="F1945" s="693"/>
      <c r="G1945" s="693"/>
      <c r="H1945" s="693"/>
      <c r="I1945" s="693"/>
      <c r="J1945" s="693"/>
      <c r="K1945" s="693"/>
      <c r="L1945" s="693"/>
      <c r="M1945" s="693"/>
      <c r="N1945" s="693"/>
      <c r="O1945" s="693"/>
      <c r="P1945" s="693"/>
      <c r="Q1945" s="693"/>
    </row>
    <row r="1946" spans="1:17" ht="13.5">
      <c r="A1946" s="693"/>
      <c r="B1946" s="693"/>
      <c r="C1946" s="693"/>
      <c r="D1946" s="693"/>
      <c r="E1946" s="693"/>
      <c r="F1946" s="693"/>
      <c r="G1946" s="693"/>
      <c r="H1946" s="693"/>
      <c r="I1946" s="693"/>
      <c r="J1946" s="693"/>
      <c r="K1946" s="693"/>
      <c r="L1946" s="693"/>
      <c r="M1946" s="693"/>
      <c r="N1946" s="693"/>
      <c r="O1946" s="693"/>
      <c r="P1946" s="693"/>
      <c r="Q1946" s="693"/>
    </row>
    <row r="1947" spans="1:17" ht="13.5">
      <c r="A1947" s="693"/>
      <c r="B1947" s="693"/>
      <c r="C1947" s="693"/>
      <c r="D1947" s="693"/>
      <c r="E1947" s="693"/>
      <c r="F1947" s="693"/>
      <c r="G1947" s="693"/>
      <c r="H1947" s="693"/>
      <c r="I1947" s="693"/>
      <c r="J1947" s="693"/>
      <c r="K1947" s="693"/>
      <c r="L1947" s="693"/>
      <c r="M1947" s="693"/>
      <c r="N1947" s="693"/>
      <c r="O1947" s="693"/>
      <c r="P1947" s="693"/>
      <c r="Q1947" s="693"/>
    </row>
    <row r="1948" spans="1:17" ht="13.5">
      <c r="A1948" s="693"/>
      <c r="B1948" s="693"/>
      <c r="C1948" s="693"/>
      <c r="D1948" s="693"/>
      <c r="E1948" s="693"/>
      <c r="F1948" s="693"/>
      <c r="G1948" s="693"/>
      <c r="H1948" s="693"/>
      <c r="I1948" s="693"/>
      <c r="J1948" s="693"/>
      <c r="K1948" s="693"/>
      <c r="L1948" s="693"/>
      <c r="M1948" s="693"/>
      <c r="N1948" s="693"/>
      <c r="O1948" s="693"/>
      <c r="P1948" s="693"/>
      <c r="Q1948" s="693"/>
    </row>
    <row r="1949" spans="1:17" ht="13.5">
      <c r="A1949" s="693"/>
      <c r="B1949" s="693"/>
      <c r="C1949" s="693"/>
      <c r="D1949" s="693"/>
      <c r="E1949" s="693"/>
      <c r="F1949" s="693"/>
      <c r="G1949" s="693"/>
      <c r="H1949" s="693"/>
      <c r="I1949" s="693"/>
      <c r="J1949" s="693"/>
      <c r="K1949" s="693"/>
      <c r="L1949" s="693"/>
      <c r="M1949" s="693"/>
      <c r="N1949" s="693"/>
      <c r="O1949" s="693"/>
      <c r="P1949" s="693"/>
      <c r="Q1949" s="693"/>
    </row>
    <row r="1950" spans="1:17" ht="13.5">
      <c r="A1950" s="693"/>
      <c r="B1950" s="693"/>
      <c r="C1950" s="693"/>
      <c r="D1950" s="693"/>
      <c r="E1950" s="693"/>
      <c r="F1950" s="693"/>
      <c r="G1950" s="693"/>
      <c r="H1950" s="693"/>
      <c r="I1950" s="693"/>
      <c r="J1950" s="693"/>
      <c r="K1950" s="693"/>
      <c r="L1950" s="693"/>
      <c r="M1950" s="693"/>
      <c r="N1950" s="693"/>
      <c r="O1950" s="693"/>
      <c r="P1950" s="693"/>
      <c r="Q1950" s="693"/>
    </row>
    <row r="1951" spans="1:17" ht="13.5">
      <c r="A1951" s="693"/>
      <c r="B1951" s="693"/>
      <c r="C1951" s="693"/>
      <c r="D1951" s="693"/>
      <c r="E1951" s="693"/>
      <c r="F1951" s="693"/>
      <c r="G1951" s="693"/>
      <c r="H1951" s="693"/>
      <c r="I1951" s="693"/>
      <c r="J1951" s="693"/>
      <c r="K1951" s="693"/>
      <c r="L1951" s="693"/>
      <c r="M1951" s="693"/>
      <c r="N1951" s="693"/>
      <c r="O1951" s="693"/>
      <c r="P1951" s="693"/>
      <c r="Q1951" s="693"/>
    </row>
    <row r="1952" spans="1:17" ht="13.5">
      <c r="A1952" s="693"/>
      <c r="B1952" s="693"/>
      <c r="C1952" s="693"/>
      <c r="D1952" s="693"/>
      <c r="E1952" s="693"/>
      <c r="F1952" s="693"/>
      <c r="G1952" s="693"/>
      <c r="H1952" s="693"/>
      <c r="I1952" s="693"/>
      <c r="J1952" s="693"/>
      <c r="K1952" s="693"/>
      <c r="L1952" s="693"/>
      <c r="M1952" s="693"/>
      <c r="N1952" s="693"/>
      <c r="O1952" s="693"/>
      <c r="P1952" s="693"/>
      <c r="Q1952" s="693"/>
    </row>
    <row r="1953" spans="1:17" ht="13.5">
      <c r="A1953" s="693"/>
      <c r="B1953" s="693"/>
      <c r="C1953" s="693"/>
      <c r="D1953" s="693"/>
      <c r="E1953" s="693"/>
      <c r="F1953" s="693"/>
      <c r="G1953" s="693"/>
      <c r="H1953" s="693"/>
      <c r="I1953" s="693"/>
      <c r="J1953" s="693"/>
      <c r="K1953" s="693"/>
      <c r="L1953" s="693"/>
      <c r="M1953" s="693"/>
      <c r="N1953" s="693"/>
      <c r="O1953" s="693"/>
      <c r="P1953" s="693"/>
      <c r="Q1953" s="693"/>
    </row>
    <row r="1954" spans="1:17" ht="13.5">
      <c r="A1954" s="693"/>
      <c r="B1954" s="693"/>
      <c r="C1954" s="693"/>
      <c r="D1954" s="693"/>
      <c r="E1954" s="693"/>
      <c r="F1954" s="693"/>
      <c r="G1954" s="693"/>
      <c r="H1954" s="693"/>
      <c r="I1954" s="693"/>
      <c r="J1954" s="693"/>
      <c r="K1954" s="693"/>
      <c r="L1954" s="693"/>
      <c r="M1954" s="693"/>
      <c r="N1954" s="693"/>
      <c r="O1954" s="693"/>
      <c r="P1954" s="693"/>
      <c r="Q1954" s="693"/>
    </row>
    <row r="1955" spans="1:17" ht="13.5">
      <c r="A1955" s="693"/>
      <c r="B1955" s="693"/>
      <c r="C1955" s="693"/>
      <c r="D1955" s="693"/>
      <c r="E1955" s="693"/>
      <c r="F1955" s="693"/>
      <c r="G1955" s="693"/>
      <c r="H1955" s="693"/>
      <c r="I1955" s="693"/>
      <c r="J1955" s="693"/>
      <c r="K1955" s="693"/>
      <c r="L1955" s="693"/>
      <c r="M1955" s="693"/>
      <c r="N1955" s="693"/>
      <c r="O1955" s="693"/>
      <c r="P1955" s="693"/>
      <c r="Q1955" s="693"/>
    </row>
    <row r="1956" spans="1:17" ht="13.5">
      <c r="A1956" s="693"/>
      <c r="B1956" s="693"/>
      <c r="C1956" s="693"/>
      <c r="D1956" s="693"/>
      <c r="E1956" s="693"/>
      <c r="F1956" s="693"/>
      <c r="G1956" s="693"/>
      <c r="H1956" s="693"/>
      <c r="I1956" s="693"/>
      <c r="J1956" s="693"/>
      <c r="K1956" s="693"/>
      <c r="L1956" s="693"/>
      <c r="M1956" s="693"/>
      <c r="N1956" s="693"/>
      <c r="O1956" s="693"/>
      <c r="P1956" s="693"/>
      <c r="Q1956" s="693"/>
    </row>
    <row r="1957" spans="1:17" ht="13.5">
      <c r="A1957" s="693"/>
      <c r="B1957" s="693"/>
      <c r="C1957" s="693"/>
      <c r="D1957" s="693"/>
      <c r="E1957" s="693"/>
      <c r="F1957" s="693"/>
      <c r="G1957" s="693"/>
      <c r="H1957" s="693"/>
      <c r="I1957" s="693"/>
      <c r="J1957" s="693"/>
      <c r="K1957" s="693"/>
      <c r="L1957" s="693"/>
      <c r="M1957" s="693"/>
      <c r="N1957" s="693"/>
      <c r="O1957" s="693"/>
      <c r="P1957" s="693"/>
      <c r="Q1957" s="693"/>
    </row>
    <row r="1958" spans="1:17" ht="13.5">
      <c r="A1958" s="693"/>
      <c r="B1958" s="693"/>
      <c r="C1958" s="693"/>
      <c r="D1958" s="693"/>
      <c r="E1958" s="693"/>
      <c r="F1958" s="693"/>
      <c r="G1958" s="693"/>
      <c r="H1958" s="693"/>
      <c r="I1958" s="693"/>
      <c r="J1958" s="693"/>
      <c r="K1958" s="693"/>
      <c r="L1958" s="693"/>
      <c r="M1958" s="693"/>
      <c r="N1958" s="693"/>
      <c r="O1958" s="693"/>
      <c r="P1958" s="693"/>
      <c r="Q1958" s="693"/>
    </row>
    <row r="1959" spans="1:17" ht="13.5">
      <c r="A1959" s="693"/>
      <c r="B1959" s="693"/>
      <c r="C1959" s="693"/>
      <c r="D1959" s="693"/>
      <c r="E1959" s="693"/>
      <c r="F1959" s="693"/>
      <c r="G1959" s="693"/>
      <c r="H1959" s="693"/>
      <c r="I1959" s="693"/>
      <c r="J1959" s="693"/>
      <c r="K1959" s="693"/>
      <c r="L1959" s="693"/>
      <c r="M1959" s="693"/>
      <c r="N1959" s="693"/>
      <c r="O1959" s="693"/>
      <c r="P1959" s="693"/>
      <c r="Q1959" s="693"/>
    </row>
    <row r="1960" spans="1:17" ht="13.5">
      <c r="A1960" s="693"/>
      <c r="B1960" s="693"/>
      <c r="C1960" s="693"/>
      <c r="D1960" s="693"/>
      <c r="E1960" s="693"/>
      <c r="F1960" s="693"/>
      <c r="G1960" s="693"/>
      <c r="H1960" s="693"/>
      <c r="I1960" s="693"/>
      <c r="J1960" s="693"/>
      <c r="K1960" s="693"/>
      <c r="L1960" s="693"/>
      <c r="M1960" s="693"/>
      <c r="N1960" s="693"/>
      <c r="O1960" s="693"/>
      <c r="P1960" s="693"/>
      <c r="Q1960" s="693"/>
    </row>
    <row r="1961" spans="1:17" ht="13.5">
      <c r="A1961" s="693"/>
      <c r="B1961" s="693"/>
      <c r="C1961" s="693"/>
      <c r="D1961" s="693"/>
      <c r="E1961" s="693"/>
      <c r="F1961" s="693"/>
      <c r="G1961" s="693"/>
      <c r="H1961" s="693"/>
      <c r="I1961" s="693"/>
      <c r="J1961" s="693"/>
      <c r="K1961" s="693"/>
      <c r="L1961" s="693"/>
      <c r="M1961" s="693"/>
      <c r="N1961" s="693"/>
      <c r="O1961" s="693"/>
      <c r="P1961" s="693"/>
      <c r="Q1961" s="693"/>
    </row>
    <row r="1962" spans="1:17" ht="13.5">
      <c r="A1962" s="693"/>
      <c r="B1962" s="693"/>
      <c r="C1962" s="693"/>
      <c r="D1962" s="693"/>
      <c r="E1962" s="693"/>
      <c r="F1962" s="693"/>
      <c r="G1962" s="693"/>
      <c r="H1962" s="693"/>
      <c r="I1962" s="693"/>
      <c r="J1962" s="693"/>
      <c r="K1962" s="693"/>
      <c r="L1962" s="693"/>
      <c r="M1962" s="693"/>
      <c r="N1962" s="693"/>
      <c r="O1962" s="693"/>
      <c r="P1962" s="693"/>
      <c r="Q1962" s="693"/>
    </row>
    <row r="1963" spans="1:17" ht="13.5">
      <c r="A1963" s="693"/>
      <c r="B1963" s="693"/>
      <c r="C1963" s="693"/>
      <c r="D1963" s="693"/>
      <c r="E1963" s="693"/>
      <c r="F1963" s="693"/>
      <c r="G1963" s="693"/>
      <c r="H1963" s="693"/>
      <c r="I1963" s="693"/>
      <c r="J1963" s="693"/>
      <c r="K1963" s="693"/>
      <c r="L1963" s="693"/>
      <c r="M1963" s="693"/>
      <c r="N1963" s="693"/>
      <c r="O1963" s="693"/>
      <c r="P1963" s="693"/>
      <c r="Q1963" s="693"/>
    </row>
    <row r="1964" spans="1:17" ht="13.5">
      <c r="A1964" s="693"/>
      <c r="B1964" s="693"/>
      <c r="C1964" s="693"/>
      <c r="D1964" s="693"/>
      <c r="E1964" s="693"/>
      <c r="F1964" s="693"/>
      <c r="G1964" s="693"/>
      <c r="H1964" s="693"/>
      <c r="I1964" s="693"/>
      <c r="J1964" s="693"/>
      <c r="K1964" s="693"/>
      <c r="L1964" s="693"/>
      <c r="M1964" s="693"/>
      <c r="N1964" s="693"/>
      <c r="O1964" s="693"/>
      <c r="P1964" s="693"/>
      <c r="Q1964" s="693"/>
    </row>
    <row r="1965" spans="1:17" ht="13.5">
      <c r="A1965" s="693"/>
      <c r="B1965" s="693"/>
      <c r="C1965" s="693"/>
      <c r="D1965" s="693"/>
      <c r="E1965" s="693"/>
      <c r="F1965" s="693"/>
      <c r="G1965" s="693"/>
      <c r="H1965" s="693"/>
      <c r="I1965" s="693"/>
      <c r="J1965" s="693"/>
      <c r="K1965" s="693"/>
      <c r="L1965" s="693"/>
      <c r="M1965" s="693"/>
      <c r="N1965" s="693"/>
      <c r="O1965" s="693"/>
      <c r="P1965" s="693"/>
      <c r="Q1965" s="693"/>
    </row>
    <row r="1966" spans="1:17" ht="13.5">
      <c r="A1966" s="693"/>
      <c r="B1966" s="693"/>
      <c r="C1966" s="693"/>
      <c r="D1966" s="693"/>
      <c r="E1966" s="693"/>
      <c r="F1966" s="693"/>
      <c r="G1966" s="693"/>
      <c r="H1966" s="693"/>
      <c r="I1966" s="693"/>
      <c r="J1966" s="693"/>
      <c r="K1966" s="693"/>
      <c r="L1966" s="693"/>
      <c r="M1966" s="693"/>
      <c r="N1966" s="693"/>
      <c r="O1966" s="693"/>
      <c r="P1966" s="693"/>
      <c r="Q1966" s="693"/>
    </row>
    <row r="1967" spans="1:17" ht="13.5">
      <c r="A1967" s="693"/>
      <c r="B1967" s="693"/>
      <c r="C1967" s="693"/>
      <c r="D1967" s="693"/>
      <c r="E1967" s="693"/>
      <c r="F1967" s="693"/>
      <c r="G1967" s="693"/>
      <c r="H1967" s="693"/>
      <c r="I1967" s="693"/>
      <c r="J1967" s="693"/>
      <c r="K1967" s="693"/>
      <c r="L1967" s="693"/>
      <c r="M1967" s="693"/>
      <c r="N1967" s="693"/>
      <c r="O1967" s="693"/>
      <c r="P1967" s="693"/>
      <c r="Q1967" s="693"/>
    </row>
    <row r="1968" spans="1:17" ht="13.5">
      <c r="A1968" s="693"/>
      <c r="B1968" s="693"/>
      <c r="C1968" s="693"/>
      <c r="D1968" s="693"/>
      <c r="E1968" s="693"/>
      <c r="F1968" s="693"/>
      <c r="G1968" s="693"/>
      <c r="H1968" s="693"/>
      <c r="I1968" s="693"/>
      <c r="J1968" s="693"/>
      <c r="K1968" s="693"/>
      <c r="L1968" s="693"/>
      <c r="M1968" s="693"/>
      <c r="N1968" s="693"/>
      <c r="O1968" s="693"/>
      <c r="P1968" s="693"/>
      <c r="Q1968" s="693"/>
    </row>
    <row r="1969" spans="1:17" ht="13.5">
      <c r="A1969" s="693"/>
      <c r="B1969" s="693"/>
      <c r="C1969" s="693"/>
      <c r="D1969" s="693"/>
      <c r="E1969" s="693"/>
      <c r="F1969" s="693"/>
      <c r="G1969" s="693"/>
      <c r="H1969" s="693"/>
      <c r="I1969" s="693"/>
      <c r="J1969" s="693"/>
      <c r="K1969" s="693"/>
      <c r="L1969" s="693"/>
      <c r="M1969" s="693"/>
      <c r="N1969" s="693"/>
      <c r="O1969" s="693"/>
      <c r="P1969" s="693"/>
      <c r="Q1969" s="693"/>
    </row>
    <row r="1970" spans="1:17" ht="13.5">
      <c r="A1970" s="693"/>
      <c r="B1970" s="693"/>
      <c r="C1970" s="693"/>
      <c r="D1970" s="693"/>
      <c r="E1970" s="693"/>
      <c r="F1970" s="693"/>
      <c r="G1970" s="693"/>
      <c r="H1970" s="693"/>
      <c r="I1970" s="693"/>
      <c r="J1970" s="693"/>
      <c r="K1970" s="693"/>
      <c r="L1970" s="693"/>
      <c r="M1970" s="693"/>
      <c r="N1970" s="693"/>
      <c r="O1970" s="693"/>
      <c r="P1970" s="693"/>
      <c r="Q1970" s="693"/>
    </row>
    <row r="1971" spans="1:17" ht="13.5">
      <c r="A1971" s="693"/>
      <c r="B1971" s="693"/>
      <c r="C1971" s="693"/>
      <c r="D1971" s="693"/>
      <c r="E1971" s="693"/>
      <c r="F1971" s="693"/>
      <c r="G1971" s="693"/>
      <c r="H1971" s="693"/>
      <c r="I1971" s="693"/>
      <c r="J1971" s="693"/>
      <c r="K1971" s="693"/>
      <c r="L1971" s="693"/>
      <c r="M1971" s="693"/>
      <c r="N1971" s="693"/>
      <c r="O1971" s="693"/>
      <c r="P1971" s="693"/>
      <c r="Q1971" s="693"/>
    </row>
    <row r="1972" spans="1:17" ht="13.5">
      <c r="A1972" s="693"/>
      <c r="B1972" s="693"/>
      <c r="C1972" s="693"/>
      <c r="D1972" s="693"/>
      <c r="E1972" s="693"/>
      <c r="F1972" s="693"/>
      <c r="G1972" s="693"/>
      <c r="H1972" s="693"/>
      <c r="I1972" s="693"/>
      <c r="J1972" s="693"/>
      <c r="K1972" s="693"/>
      <c r="L1972" s="693"/>
      <c r="M1972" s="693"/>
      <c r="N1972" s="693"/>
      <c r="O1972" s="693"/>
      <c r="P1972" s="693"/>
      <c r="Q1972" s="693"/>
    </row>
    <row r="1973" spans="1:17" ht="13.5">
      <c r="A1973" s="693"/>
      <c r="B1973" s="693"/>
      <c r="C1973" s="693"/>
      <c r="D1973" s="693"/>
      <c r="E1973" s="693"/>
      <c r="F1973" s="693"/>
      <c r="G1973" s="693"/>
      <c r="H1973" s="693"/>
      <c r="I1973" s="693"/>
      <c r="J1973" s="693"/>
      <c r="K1973" s="693"/>
      <c r="L1973" s="693"/>
      <c r="M1973" s="693"/>
      <c r="N1973" s="693"/>
      <c r="O1973" s="693"/>
      <c r="P1973" s="693"/>
      <c r="Q1973" s="693"/>
    </row>
    <row r="1974" spans="1:17" ht="13.5">
      <c r="A1974" s="693"/>
      <c r="B1974" s="693"/>
      <c r="C1974" s="693"/>
      <c r="D1974" s="693"/>
      <c r="E1974" s="693"/>
      <c r="F1974" s="693"/>
      <c r="G1974" s="693"/>
      <c r="H1974" s="693"/>
      <c r="I1974" s="693"/>
      <c r="J1974" s="693"/>
      <c r="K1974" s="693"/>
      <c r="L1974" s="693"/>
      <c r="M1974" s="693"/>
      <c r="N1974" s="693"/>
      <c r="O1974" s="693"/>
      <c r="P1974" s="693"/>
      <c r="Q1974" s="693"/>
    </row>
    <row r="1975" spans="1:17" ht="13.5">
      <c r="A1975" s="693"/>
      <c r="B1975" s="693"/>
      <c r="C1975" s="693"/>
      <c r="D1975" s="693"/>
      <c r="E1975" s="693"/>
      <c r="F1975" s="693"/>
      <c r="G1975" s="693"/>
      <c r="H1975" s="693"/>
      <c r="I1975" s="693"/>
      <c r="J1975" s="693"/>
      <c r="K1975" s="693"/>
      <c r="L1975" s="693"/>
      <c r="M1975" s="693"/>
      <c r="N1975" s="693"/>
      <c r="O1975" s="693"/>
      <c r="P1975" s="693"/>
      <c r="Q1975" s="693"/>
    </row>
    <row r="1976" spans="1:17" ht="13.5">
      <c r="A1976" s="693"/>
      <c r="B1976" s="693"/>
      <c r="C1976" s="693"/>
      <c r="D1976" s="693"/>
      <c r="E1976" s="693"/>
      <c r="F1976" s="693"/>
      <c r="G1976" s="693"/>
      <c r="H1976" s="693"/>
      <c r="I1976" s="693"/>
      <c r="J1976" s="693"/>
      <c r="K1976" s="693"/>
      <c r="L1976" s="693"/>
      <c r="M1976" s="693"/>
      <c r="N1976" s="693"/>
      <c r="O1976" s="693"/>
      <c r="P1976" s="693"/>
      <c r="Q1976" s="693"/>
    </row>
    <row r="1977" spans="1:17" ht="13.5">
      <c r="A1977" s="693"/>
      <c r="B1977" s="693"/>
      <c r="C1977" s="693"/>
      <c r="D1977" s="693"/>
      <c r="E1977" s="693"/>
      <c r="F1977" s="693"/>
      <c r="G1977" s="693"/>
      <c r="H1977" s="693"/>
      <c r="I1977" s="693"/>
      <c r="J1977" s="693"/>
      <c r="K1977" s="693"/>
      <c r="L1977" s="693"/>
      <c r="M1977" s="693"/>
      <c r="N1977" s="693"/>
      <c r="O1977" s="693"/>
      <c r="P1977" s="693"/>
      <c r="Q1977" s="693"/>
    </row>
    <row r="1978" spans="1:17" ht="13.5">
      <c r="A1978" s="693"/>
      <c r="B1978" s="693"/>
      <c r="C1978" s="693"/>
      <c r="D1978" s="693"/>
      <c r="E1978" s="693"/>
      <c r="F1978" s="693"/>
      <c r="G1978" s="693"/>
      <c r="H1978" s="693"/>
      <c r="I1978" s="693"/>
      <c r="J1978" s="693"/>
      <c r="K1978" s="693"/>
      <c r="L1978" s="693"/>
      <c r="M1978" s="693"/>
      <c r="N1978" s="693"/>
      <c r="O1978" s="693"/>
      <c r="P1978" s="693"/>
      <c r="Q1978" s="693"/>
    </row>
    <row r="1979" spans="1:17" ht="13.5">
      <c r="A1979" s="693"/>
      <c r="B1979" s="693"/>
      <c r="C1979" s="693"/>
      <c r="D1979" s="693"/>
      <c r="E1979" s="693"/>
      <c r="F1979" s="693"/>
      <c r="G1979" s="693"/>
      <c r="H1979" s="693"/>
      <c r="I1979" s="693"/>
      <c r="J1979" s="693"/>
      <c r="K1979" s="693"/>
      <c r="L1979" s="693"/>
      <c r="M1979" s="693"/>
      <c r="N1979" s="693"/>
      <c r="O1979" s="693"/>
      <c r="P1979" s="693"/>
      <c r="Q1979" s="693"/>
    </row>
    <row r="1980" spans="1:17" ht="13.5">
      <c r="A1980" s="693"/>
      <c r="B1980" s="693"/>
      <c r="C1980" s="693"/>
      <c r="D1980" s="693"/>
      <c r="E1980" s="693"/>
      <c r="F1980" s="693"/>
      <c r="G1980" s="693"/>
      <c r="H1980" s="693"/>
      <c r="I1980" s="693"/>
      <c r="J1980" s="693"/>
      <c r="K1980" s="693"/>
      <c r="L1980" s="693"/>
      <c r="M1980" s="693"/>
      <c r="N1980" s="693"/>
      <c r="O1980" s="693"/>
      <c r="P1980" s="693"/>
      <c r="Q1980" s="693"/>
    </row>
    <row r="1981" spans="1:17" ht="13.5">
      <c r="A1981" s="693"/>
      <c r="B1981" s="693"/>
      <c r="C1981" s="693"/>
      <c r="D1981" s="693"/>
      <c r="E1981" s="693"/>
      <c r="F1981" s="693"/>
      <c r="G1981" s="693"/>
      <c r="H1981" s="693"/>
      <c r="I1981" s="693"/>
      <c r="J1981" s="693"/>
      <c r="K1981" s="693"/>
      <c r="L1981" s="693"/>
      <c r="M1981" s="693"/>
      <c r="N1981" s="693"/>
      <c r="O1981" s="693"/>
      <c r="P1981" s="693"/>
      <c r="Q1981" s="693"/>
    </row>
    <row r="1982" spans="1:17" ht="13.5">
      <c r="A1982" s="693"/>
      <c r="B1982" s="693"/>
      <c r="C1982" s="693"/>
      <c r="D1982" s="693"/>
      <c r="E1982" s="693"/>
      <c r="F1982" s="693"/>
      <c r="G1982" s="693"/>
      <c r="H1982" s="693"/>
      <c r="I1982" s="693"/>
      <c r="J1982" s="693"/>
      <c r="K1982" s="693"/>
      <c r="L1982" s="693"/>
      <c r="M1982" s="693"/>
      <c r="N1982" s="693"/>
      <c r="O1982" s="693"/>
      <c r="P1982" s="693"/>
      <c r="Q1982" s="693"/>
    </row>
    <row r="1983" spans="1:17" ht="13.5">
      <c r="A1983" s="693"/>
      <c r="B1983" s="693"/>
      <c r="C1983" s="693"/>
      <c r="D1983" s="693"/>
      <c r="E1983" s="693"/>
      <c r="F1983" s="693"/>
      <c r="G1983" s="693"/>
      <c r="H1983" s="693"/>
      <c r="I1983" s="693"/>
      <c r="J1983" s="693"/>
      <c r="K1983" s="693"/>
      <c r="L1983" s="693"/>
      <c r="M1983" s="693"/>
      <c r="N1983" s="693"/>
      <c r="O1983" s="693"/>
      <c r="P1983" s="693"/>
      <c r="Q1983" s="693"/>
    </row>
    <row r="1984" spans="1:17" ht="13.5">
      <c r="A1984" s="693"/>
      <c r="B1984" s="693"/>
      <c r="C1984" s="693"/>
      <c r="D1984" s="693"/>
      <c r="E1984" s="693"/>
      <c r="F1984" s="693"/>
      <c r="G1984" s="693"/>
      <c r="H1984" s="693"/>
      <c r="I1984" s="693"/>
      <c r="J1984" s="693"/>
      <c r="K1984" s="693"/>
      <c r="L1984" s="693"/>
      <c r="M1984" s="693"/>
      <c r="N1984" s="693"/>
      <c r="O1984" s="693"/>
      <c r="P1984" s="693"/>
      <c r="Q1984" s="693"/>
    </row>
    <row r="1985" spans="1:17" ht="13.5">
      <c r="A1985" s="693"/>
      <c r="B1985" s="693"/>
      <c r="C1985" s="693"/>
      <c r="D1985" s="693"/>
      <c r="E1985" s="693"/>
      <c r="F1985" s="693"/>
      <c r="G1985" s="693"/>
      <c r="H1985" s="693"/>
      <c r="I1985" s="693"/>
      <c r="J1985" s="693"/>
      <c r="K1985" s="693"/>
      <c r="L1985" s="693"/>
      <c r="M1985" s="693"/>
      <c r="N1985" s="693"/>
      <c r="O1985" s="693"/>
      <c r="P1985" s="693"/>
      <c r="Q1985" s="693"/>
    </row>
    <row r="1986" spans="1:17" ht="13.5">
      <c r="A1986" s="693"/>
      <c r="B1986" s="693"/>
      <c r="C1986" s="693"/>
      <c r="D1986" s="693"/>
      <c r="E1986" s="693"/>
      <c r="F1986" s="693"/>
      <c r="G1986" s="693"/>
      <c r="H1986" s="693"/>
      <c r="I1986" s="693"/>
      <c r="J1986" s="693"/>
      <c r="K1986" s="693"/>
      <c r="L1986" s="693"/>
      <c r="M1986" s="693"/>
      <c r="N1986" s="693"/>
      <c r="O1986" s="693"/>
      <c r="P1986" s="693"/>
      <c r="Q1986" s="693"/>
    </row>
    <row r="1987" spans="1:17" ht="13.5">
      <c r="A1987" s="693"/>
      <c r="B1987" s="693"/>
      <c r="C1987" s="693"/>
      <c r="D1987" s="693"/>
      <c r="E1987" s="693"/>
      <c r="F1987" s="693"/>
      <c r="G1987" s="693"/>
      <c r="H1987" s="693"/>
      <c r="I1987" s="693"/>
      <c r="J1987" s="693"/>
      <c r="K1987" s="693"/>
      <c r="L1987" s="693"/>
      <c r="M1987" s="693"/>
      <c r="N1987" s="693"/>
      <c r="O1987" s="693"/>
      <c r="P1987" s="693"/>
      <c r="Q1987" s="693"/>
    </row>
    <row r="1988" spans="1:17" ht="13.5">
      <c r="A1988" s="693"/>
      <c r="B1988" s="693"/>
      <c r="C1988" s="693"/>
      <c r="D1988" s="693"/>
      <c r="E1988" s="693"/>
      <c r="F1988" s="693"/>
      <c r="G1988" s="693"/>
      <c r="H1988" s="693"/>
      <c r="I1988" s="693"/>
      <c r="J1988" s="693"/>
      <c r="K1988" s="693"/>
      <c r="L1988" s="693"/>
      <c r="M1988" s="693"/>
      <c r="N1988" s="693"/>
      <c r="O1988" s="693"/>
      <c r="P1988" s="693"/>
      <c r="Q1988" s="693"/>
    </row>
    <row r="1989" spans="1:17" ht="13.5">
      <c r="A1989" s="693"/>
      <c r="B1989" s="693"/>
      <c r="C1989" s="693"/>
      <c r="D1989" s="693"/>
      <c r="E1989" s="693"/>
      <c r="F1989" s="693"/>
      <c r="G1989" s="693"/>
      <c r="H1989" s="693"/>
      <c r="I1989" s="693"/>
      <c r="J1989" s="693"/>
      <c r="K1989" s="693"/>
      <c r="L1989" s="693"/>
      <c r="M1989" s="693"/>
      <c r="N1989" s="693"/>
      <c r="O1989" s="693"/>
      <c r="P1989" s="693"/>
      <c r="Q1989" s="693"/>
    </row>
    <row r="1990" spans="1:17" ht="13.5">
      <c r="A1990" s="693"/>
      <c r="B1990" s="693"/>
      <c r="C1990" s="693"/>
      <c r="D1990" s="693"/>
      <c r="E1990" s="693"/>
      <c r="F1990" s="693"/>
      <c r="G1990" s="693"/>
      <c r="H1990" s="693"/>
      <c r="I1990" s="693"/>
      <c r="J1990" s="693"/>
      <c r="K1990" s="693"/>
      <c r="L1990" s="693"/>
      <c r="M1990" s="693"/>
      <c r="N1990" s="693"/>
      <c r="O1990" s="693"/>
      <c r="P1990" s="693"/>
      <c r="Q1990" s="693"/>
    </row>
    <row r="1991" spans="1:17" ht="13.5">
      <c r="A1991" s="693"/>
      <c r="B1991" s="693"/>
      <c r="C1991" s="693"/>
      <c r="D1991" s="693"/>
      <c r="E1991" s="693"/>
      <c r="F1991" s="693"/>
      <c r="G1991" s="693"/>
      <c r="H1991" s="693"/>
      <c r="I1991" s="693"/>
      <c r="J1991" s="693"/>
      <c r="K1991" s="693"/>
      <c r="L1991" s="693"/>
      <c r="M1991" s="693"/>
      <c r="N1991" s="693"/>
      <c r="O1991" s="693"/>
      <c r="P1991" s="693"/>
      <c r="Q1991" s="693"/>
    </row>
    <row r="1992" spans="1:17" ht="13.5">
      <c r="A1992" s="693"/>
      <c r="B1992" s="693"/>
      <c r="C1992" s="693"/>
      <c r="D1992" s="693"/>
      <c r="E1992" s="693"/>
      <c r="F1992" s="693"/>
      <c r="G1992" s="693"/>
      <c r="H1992" s="693"/>
      <c r="I1992" s="693"/>
      <c r="J1992" s="693"/>
      <c r="K1992" s="693"/>
      <c r="L1992" s="693"/>
      <c r="M1992" s="693"/>
      <c r="N1992" s="693"/>
      <c r="O1992" s="693"/>
      <c r="P1992" s="693"/>
      <c r="Q1992" s="693"/>
    </row>
    <row r="1993" spans="1:17" ht="13.5">
      <c r="A1993" s="693"/>
      <c r="B1993" s="693"/>
      <c r="C1993" s="693"/>
      <c r="D1993" s="693"/>
      <c r="E1993" s="693"/>
      <c r="F1993" s="693"/>
      <c r="G1993" s="693"/>
      <c r="H1993" s="693"/>
      <c r="I1993" s="693"/>
      <c r="J1993" s="693"/>
      <c r="K1993" s="693"/>
      <c r="L1993" s="693"/>
      <c r="M1993" s="693"/>
      <c r="N1993" s="693"/>
      <c r="O1993" s="693"/>
      <c r="P1993" s="693"/>
      <c r="Q1993" s="693"/>
    </row>
    <row r="1994" spans="1:17" ht="13.5">
      <c r="A1994" s="693"/>
      <c r="B1994" s="693"/>
      <c r="C1994" s="693"/>
      <c r="D1994" s="693"/>
      <c r="E1994" s="693"/>
      <c r="F1994" s="693"/>
      <c r="G1994" s="693"/>
      <c r="H1994" s="693"/>
      <c r="I1994" s="693"/>
      <c r="J1994" s="693"/>
      <c r="K1994" s="693"/>
      <c r="L1994" s="693"/>
      <c r="M1994" s="693"/>
      <c r="N1994" s="693"/>
      <c r="O1994" s="693"/>
      <c r="P1994" s="693"/>
      <c r="Q1994" s="693"/>
    </row>
    <row r="1995" spans="1:17" ht="13.5">
      <c r="A1995" s="693"/>
      <c r="B1995" s="693"/>
      <c r="C1995" s="693"/>
      <c r="D1995" s="693"/>
      <c r="E1995" s="693"/>
      <c r="F1995" s="693"/>
      <c r="G1995" s="693"/>
      <c r="H1995" s="693"/>
      <c r="I1995" s="693"/>
      <c r="J1995" s="693"/>
      <c r="K1995" s="693"/>
      <c r="L1995" s="693"/>
      <c r="M1995" s="693"/>
      <c r="N1995" s="693"/>
      <c r="O1995" s="693"/>
      <c r="P1995" s="693"/>
      <c r="Q1995" s="693"/>
    </row>
    <row r="1996" spans="1:17" ht="13.5">
      <c r="A1996" s="693"/>
      <c r="B1996" s="693"/>
      <c r="C1996" s="693"/>
      <c r="D1996" s="693"/>
      <c r="E1996" s="693"/>
      <c r="F1996" s="693"/>
      <c r="G1996" s="693"/>
      <c r="H1996" s="693"/>
      <c r="I1996" s="693"/>
      <c r="J1996" s="693"/>
      <c r="K1996" s="693"/>
      <c r="L1996" s="693"/>
      <c r="M1996" s="693"/>
      <c r="N1996" s="693"/>
      <c r="O1996" s="693"/>
      <c r="P1996" s="693"/>
      <c r="Q1996" s="693"/>
    </row>
    <row r="1997" spans="1:17" ht="13.5">
      <c r="A1997" s="693"/>
      <c r="B1997" s="693"/>
      <c r="C1997" s="693"/>
      <c r="D1997" s="693"/>
      <c r="E1997" s="693"/>
      <c r="F1997" s="693"/>
      <c r="G1997" s="693"/>
      <c r="H1997" s="693"/>
      <c r="I1997" s="693"/>
      <c r="J1997" s="693"/>
      <c r="K1997" s="693"/>
      <c r="L1997" s="693"/>
      <c r="M1997" s="693"/>
      <c r="N1997" s="693"/>
      <c r="O1997" s="693"/>
      <c r="P1997" s="693"/>
      <c r="Q1997" s="693"/>
    </row>
    <row r="1998" spans="1:17" ht="13.5">
      <c r="A1998" s="693"/>
      <c r="B1998" s="693"/>
      <c r="C1998" s="693"/>
      <c r="D1998" s="693"/>
      <c r="E1998" s="693"/>
      <c r="F1998" s="693"/>
      <c r="G1998" s="693"/>
      <c r="H1998" s="693"/>
      <c r="I1998" s="693"/>
      <c r="J1998" s="693"/>
      <c r="K1998" s="693"/>
      <c r="L1998" s="693"/>
      <c r="M1998" s="693"/>
      <c r="N1998" s="693"/>
      <c r="O1998" s="693"/>
      <c r="P1998" s="693"/>
      <c r="Q1998" s="693"/>
    </row>
    <row r="1999" spans="1:17" ht="13.5">
      <c r="A1999" s="693"/>
      <c r="B1999" s="693"/>
      <c r="C1999" s="693"/>
      <c r="D1999" s="693"/>
      <c r="E1999" s="693"/>
      <c r="F1999" s="693"/>
      <c r="G1999" s="693"/>
      <c r="H1999" s="693"/>
      <c r="I1999" s="693"/>
      <c r="J1999" s="693"/>
      <c r="K1999" s="693"/>
      <c r="L1999" s="693"/>
      <c r="M1999" s="693"/>
      <c r="N1999" s="693"/>
      <c r="O1999" s="693"/>
      <c r="P1999" s="693"/>
      <c r="Q1999" s="693"/>
    </row>
    <row r="2000" spans="1:17" ht="13.5">
      <c r="A2000" s="693"/>
      <c r="B2000" s="693"/>
      <c r="C2000" s="693"/>
      <c r="D2000" s="693"/>
      <c r="E2000" s="693"/>
      <c r="F2000" s="693"/>
      <c r="G2000" s="693"/>
      <c r="H2000" s="693"/>
      <c r="I2000" s="693"/>
      <c r="J2000" s="693"/>
      <c r="K2000" s="693"/>
      <c r="L2000" s="693"/>
      <c r="M2000" s="693"/>
      <c r="N2000" s="693"/>
      <c r="O2000" s="693"/>
      <c r="P2000" s="693"/>
      <c r="Q2000" s="693"/>
    </row>
    <row r="2001" spans="1:17" ht="13.5">
      <c r="A2001" s="693"/>
      <c r="B2001" s="693"/>
      <c r="C2001" s="693"/>
      <c r="D2001" s="693"/>
      <c r="E2001" s="693"/>
      <c r="F2001" s="693"/>
      <c r="G2001" s="693"/>
      <c r="H2001" s="693"/>
      <c r="I2001" s="693"/>
      <c r="J2001" s="693"/>
      <c r="K2001" s="693"/>
      <c r="L2001" s="693"/>
      <c r="M2001" s="693"/>
      <c r="N2001" s="693"/>
      <c r="O2001" s="693"/>
      <c r="P2001" s="693"/>
      <c r="Q2001" s="693"/>
    </row>
    <row r="2002" spans="1:17" ht="13.5">
      <c r="A2002" s="693"/>
      <c r="B2002" s="693"/>
      <c r="C2002" s="693"/>
      <c r="D2002" s="693"/>
      <c r="E2002" s="693"/>
      <c r="F2002" s="693"/>
      <c r="G2002" s="693"/>
      <c r="H2002" s="693"/>
      <c r="I2002" s="693"/>
      <c r="J2002" s="693"/>
      <c r="K2002" s="693"/>
      <c r="L2002" s="693"/>
      <c r="M2002" s="693"/>
      <c r="N2002" s="693"/>
      <c r="O2002" s="693"/>
      <c r="P2002" s="693"/>
      <c r="Q2002" s="693"/>
    </row>
    <row r="2003" spans="1:17" ht="13.5">
      <c r="A2003" s="693"/>
      <c r="B2003" s="693"/>
      <c r="C2003" s="693"/>
      <c r="D2003" s="693"/>
      <c r="E2003" s="693"/>
      <c r="F2003" s="693"/>
      <c r="G2003" s="693"/>
      <c r="H2003" s="693"/>
      <c r="I2003" s="693"/>
      <c r="J2003" s="693"/>
      <c r="K2003" s="693"/>
      <c r="L2003" s="693"/>
      <c r="M2003" s="693"/>
      <c r="N2003" s="693"/>
      <c r="O2003" s="693"/>
      <c r="P2003" s="693"/>
      <c r="Q2003" s="693"/>
    </row>
    <row r="2004" spans="1:17" ht="13.5">
      <c r="A2004" s="693"/>
      <c r="B2004" s="693"/>
      <c r="C2004" s="693"/>
      <c r="D2004" s="693"/>
      <c r="E2004" s="693"/>
      <c r="F2004" s="693"/>
      <c r="G2004" s="693"/>
      <c r="H2004" s="693"/>
      <c r="I2004" s="693"/>
      <c r="J2004" s="693"/>
      <c r="K2004" s="693"/>
      <c r="L2004" s="693"/>
      <c r="M2004" s="693"/>
      <c r="N2004" s="693"/>
      <c r="O2004" s="693"/>
      <c r="P2004" s="693"/>
      <c r="Q2004" s="693"/>
    </row>
    <row r="2005" spans="1:17" ht="13.5">
      <c r="A2005" s="693"/>
      <c r="B2005" s="693"/>
      <c r="C2005" s="693"/>
      <c r="D2005" s="693"/>
      <c r="E2005" s="693"/>
      <c r="F2005" s="693"/>
      <c r="G2005" s="693"/>
      <c r="H2005" s="693"/>
      <c r="I2005" s="693"/>
      <c r="J2005" s="693"/>
      <c r="K2005" s="693"/>
      <c r="L2005" s="693"/>
      <c r="M2005" s="693"/>
      <c r="N2005" s="693"/>
      <c r="O2005" s="693"/>
      <c r="P2005" s="693"/>
      <c r="Q2005" s="693"/>
    </row>
    <row r="2006" spans="1:17" ht="13.5">
      <c r="A2006" s="693"/>
      <c r="B2006" s="693"/>
      <c r="C2006" s="693"/>
      <c r="D2006" s="693"/>
      <c r="E2006" s="693"/>
      <c r="F2006" s="693"/>
      <c r="G2006" s="693"/>
      <c r="H2006" s="693"/>
      <c r="I2006" s="693"/>
      <c r="J2006" s="693"/>
      <c r="K2006" s="693"/>
      <c r="L2006" s="693"/>
      <c r="M2006" s="693"/>
      <c r="N2006" s="693"/>
      <c r="O2006" s="693"/>
      <c r="P2006" s="693"/>
      <c r="Q2006" s="693"/>
    </row>
    <row r="2007" spans="1:17" ht="13.5">
      <c r="A2007" s="693"/>
      <c r="B2007" s="693"/>
      <c r="C2007" s="693"/>
      <c r="D2007" s="693"/>
      <c r="E2007" s="693"/>
      <c r="F2007" s="693"/>
      <c r="G2007" s="693"/>
      <c r="H2007" s="693"/>
      <c r="I2007" s="693"/>
      <c r="J2007" s="693"/>
      <c r="K2007" s="693"/>
      <c r="L2007" s="693"/>
      <c r="M2007" s="693"/>
      <c r="N2007" s="693"/>
      <c r="O2007" s="693"/>
      <c r="P2007" s="693"/>
      <c r="Q2007" s="693"/>
    </row>
    <row r="2008" spans="1:17" ht="13.5">
      <c r="A2008" s="693"/>
      <c r="B2008" s="693"/>
      <c r="C2008" s="693"/>
      <c r="D2008" s="693"/>
      <c r="E2008" s="693"/>
      <c r="F2008" s="693"/>
      <c r="G2008" s="693"/>
      <c r="H2008" s="693"/>
      <c r="I2008" s="693"/>
      <c r="J2008" s="693"/>
      <c r="K2008" s="693"/>
      <c r="L2008" s="693"/>
      <c r="M2008" s="693"/>
      <c r="N2008" s="693"/>
      <c r="O2008" s="693"/>
      <c r="P2008" s="693"/>
      <c r="Q2008" s="693"/>
    </row>
    <row r="2009" spans="1:17" ht="13.5">
      <c r="A2009" s="693"/>
      <c r="B2009" s="693"/>
      <c r="C2009" s="693"/>
      <c r="D2009" s="693"/>
      <c r="E2009" s="693"/>
      <c r="F2009" s="693"/>
      <c r="G2009" s="693"/>
      <c r="H2009" s="693"/>
      <c r="I2009" s="693"/>
      <c r="J2009" s="693"/>
      <c r="K2009" s="693"/>
      <c r="L2009" s="693"/>
      <c r="M2009" s="693"/>
      <c r="N2009" s="693"/>
      <c r="O2009" s="693"/>
      <c r="P2009" s="693"/>
      <c r="Q2009" s="693"/>
    </row>
    <row r="2010" spans="1:17" ht="13.5">
      <c r="A2010" s="693"/>
      <c r="B2010" s="693"/>
      <c r="C2010" s="693"/>
      <c r="D2010" s="693"/>
      <c r="E2010" s="693"/>
      <c r="F2010" s="693"/>
      <c r="G2010" s="693"/>
      <c r="H2010" s="693"/>
      <c r="I2010" s="693"/>
      <c r="J2010" s="693"/>
      <c r="K2010" s="693"/>
      <c r="L2010" s="693"/>
      <c r="M2010" s="693"/>
      <c r="N2010" s="693"/>
      <c r="O2010" s="693"/>
      <c r="P2010" s="693"/>
      <c r="Q2010" s="693"/>
    </row>
    <row r="2011" spans="1:17" ht="13.5">
      <c r="A2011" s="693"/>
      <c r="B2011" s="693"/>
      <c r="C2011" s="693"/>
      <c r="D2011" s="693"/>
      <c r="E2011" s="693"/>
      <c r="F2011" s="693"/>
      <c r="G2011" s="693"/>
      <c r="H2011" s="693"/>
      <c r="I2011" s="693"/>
      <c r="J2011" s="693"/>
      <c r="K2011" s="693"/>
      <c r="L2011" s="693"/>
      <c r="M2011" s="693"/>
      <c r="N2011" s="693"/>
      <c r="O2011" s="693"/>
      <c r="P2011" s="693"/>
      <c r="Q2011" s="693"/>
    </row>
    <row r="2012" spans="1:17" ht="13.5">
      <c r="A2012" s="693"/>
      <c r="B2012" s="693"/>
      <c r="C2012" s="693"/>
      <c r="D2012" s="693"/>
      <c r="E2012" s="693"/>
      <c r="F2012" s="693"/>
      <c r="G2012" s="693"/>
      <c r="H2012" s="693"/>
      <c r="I2012" s="693"/>
      <c r="J2012" s="693"/>
      <c r="K2012" s="693"/>
      <c r="L2012" s="693"/>
      <c r="M2012" s="693"/>
      <c r="N2012" s="693"/>
      <c r="O2012" s="693"/>
      <c r="P2012" s="693"/>
      <c r="Q2012" s="693"/>
    </row>
    <row r="2013" spans="1:17" ht="13.5">
      <c r="A2013" s="693"/>
      <c r="B2013" s="693"/>
      <c r="C2013" s="693"/>
      <c r="D2013" s="693"/>
      <c r="E2013" s="693"/>
      <c r="F2013" s="693"/>
      <c r="G2013" s="693"/>
      <c r="H2013" s="693"/>
      <c r="I2013" s="693"/>
      <c r="J2013" s="693"/>
      <c r="K2013" s="693"/>
      <c r="L2013" s="693"/>
      <c r="M2013" s="693"/>
      <c r="N2013" s="693"/>
      <c r="O2013" s="693"/>
      <c r="P2013" s="693"/>
      <c r="Q2013" s="693"/>
    </row>
    <row r="2014" spans="1:17" ht="13.5">
      <c r="A2014" s="693"/>
      <c r="B2014" s="693"/>
      <c r="C2014" s="693"/>
      <c r="D2014" s="693"/>
      <c r="E2014" s="693"/>
      <c r="F2014" s="693"/>
      <c r="G2014" s="693"/>
      <c r="H2014" s="693"/>
      <c r="I2014" s="693"/>
      <c r="J2014" s="693"/>
      <c r="K2014" s="693"/>
      <c r="L2014" s="693"/>
      <c r="M2014" s="693"/>
      <c r="N2014" s="693"/>
      <c r="O2014" s="693"/>
      <c r="P2014" s="693"/>
      <c r="Q2014" s="693"/>
    </row>
    <row r="2015" spans="1:17" ht="13.5">
      <c r="A2015" s="693"/>
      <c r="B2015" s="693"/>
      <c r="C2015" s="693"/>
      <c r="D2015" s="693"/>
      <c r="E2015" s="693"/>
      <c r="F2015" s="693"/>
      <c r="G2015" s="693"/>
      <c r="H2015" s="693"/>
      <c r="I2015" s="693"/>
      <c r="J2015" s="693"/>
      <c r="K2015" s="693"/>
      <c r="L2015" s="693"/>
      <c r="M2015" s="693"/>
      <c r="N2015" s="693"/>
      <c r="O2015" s="693"/>
      <c r="P2015" s="693"/>
      <c r="Q2015" s="693"/>
    </row>
    <row r="2016" spans="1:17" ht="13.5">
      <c r="A2016" s="693"/>
      <c r="B2016" s="693"/>
      <c r="C2016" s="693"/>
      <c r="D2016" s="693"/>
      <c r="E2016" s="693"/>
      <c r="F2016" s="693"/>
      <c r="G2016" s="693"/>
      <c r="H2016" s="693"/>
      <c r="I2016" s="693"/>
      <c r="J2016" s="693"/>
      <c r="K2016" s="693"/>
      <c r="L2016" s="693"/>
      <c r="M2016" s="693"/>
      <c r="N2016" s="693"/>
      <c r="O2016" s="693"/>
      <c r="P2016" s="693"/>
      <c r="Q2016" s="693"/>
    </row>
    <row r="2017" spans="1:17" ht="13.5">
      <c r="A2017" s="693"/>
      <c r="B2017" s="693"/>
      <c r="C2017" s="693"/>
      <c r="D2017" s="693"/>
      <c r="E2017" s="693"/>
      <c r="F2017" s="693"/>
      <c r="G2017" s="693"/>
      <c r="H2017" s="693"/>
      <c r="I2017" s="693"/>
      <c r="J2017" s="693"/>
      <c r="K2017" s="693"/>
      <c r="L2017" s="693"/>
      <c r="M2017" s="693"/>
      <c r="N2017" s="693"/>
      <c r="O2017" s="693"/>
      <c r="P2017" s="693"/>
      <c r="Q2017" s="693"/>
    </row>
    <row r="2018" spans="1:17" ht="13.5">
      <c r="A2018" s="693"/>
      <c r="B2018" s="693"/>
      <c r="C2018" s="693"/>
      <c r="D2018" s="693"/>
      <c r="E2018" s="693"/>
      <c r="F2018" s="693"/>
      <c r="G2018" s="693"/>
      <c r="H2018" s="693"/>
      <c r="I2018" s="693"/>
      <c r="J2018" s="693"/>
      <c r="K2018" s="693"/>
      <c r="L2018" s="693"/>
      <c r="M2018" s="693"/>
      <c r="N2018" s="693"/>
      <c r="O2018" s="693"/>
      <c r="P2018" s="693"/>
      <c r="Q2018" s="693"/>
    </row>
    <row r="2019" spans="1:17" ht="13.5">
      <c r="A2019" s="693"/>
      <c r="B2019" s="693"/>
      <c r="C2019" s="693"/>
      <c r="D2019" s="693"/>
      <c r="E2019" s="693"/>
      <c r="F2019" s="693"/>
      <c r="G2019" s="693"/>
      <c r="H2019" s="693"/>
      <c r="I2019" s="693"/>
      <c r="J2019" s="693"/>
      <c r="K2019" s="693"/>
      <c r="L2019" s="693"/>
      <c r="M2019" s="693"/>
      <c r="N2019" s="693"/>
      <c r="O2019" s="693"/>
      <c r="P2019" s="693"/>
      <c r="Q2019" s="693"/>
    </row>
    <row r="2020" spans="1:17" ht="13.5">
      <c r="A2020" s="693"/>
      <c r="B2020" s="693"/>
      <c r="C2020" s="693"/>
      <c r="D2020" s="693"/>
      <c r="E2020" s="693"/>
      <c r="F2020" s="693"/>
      <c r="G2020" s="693"/>
      <c r="H2020" s="693"/>
      <c r="I2020" s="693"/>
      <c r="J2020" s="693"/>
      <c r="K2020" s="693"/>
      <c r="L2020" s="693"/>
      <c r="M2020" s="693"/>
      <c r="N2020" s="693"/>
      <c r="O2020" s="693"/>
      <c r="P2020" s="693"/>
      <c r="Q2020" s="693"/>
    </row>
    <row r="2021" spans="1:17" ht="13.5">
      <c r="A2021" s="693"/>
      <c r="B2021" s="693"/>
      <c r="C2021" s="693"/>
      <c r="D2021" s="693"/>
      <c r="E2021" s="693"/>
      <c r="F2021" s="693"/>
      <c r="G2021" s="693"/>
      <c r="H2021" s="693"/>
      <c r="I2021" s="693"/>
      <c r="J2021" s="693"/>
      <c r="K2021" s="693"/>
      <c r="L2021" s="693"/>
      <c r="M2021" s="693"/>
      <c r="N2021" s="693"/>
      <c r="O2021" s="693"/>
      <c r="P2021" s="693"/>
      <c r="Q2021" s="693"/>
    </row>
    <row r="2022" spans="1:17" ht="13.5">
      <c r="A2022" s="693"/>
      <c r="B2022" s="693"/>
      <c r="C2022" s="693"/>
      <c r="D2022" s="693"/>
      <c r="E2022" s="693"/>
      <c r="F2022" s="693"/>
      <c r="G2022" s="693"/>
      <c r="H2022" s="693"/>
      <c r="I2022" s="693"/>
      <c r="J2022" s="693"/>
      <c r="K2022" s="693"/>
      <c r="L2022" s="693"/>
      <c r="M2022" s="693"/>
      <c r="N2022" s="693"/>
      <c r="O2022" s="693"/>
      <c r="P2022" s="693"/>
      <c r="Q2022" s="693"/>
    </row>
    <row r="2023" spans="1:17" ht="13.5">
      <c r="A2023" s="693"/>
      <c r="B2023" s="693"/>
      <c r="C2023" s="693"/>
      <c r="D2023" s="693"/>
      <c r="E2023" s="693"/>
      <c r="F2023" s="693"/>
      <c r="G2023" s="693"/>
      <c r="H2023" s="693"/>
      <c r="I2023" s="693"/>
      <c r="J2023" s="693"/>
      <c r="K2023" s="693"/>
      <c r="L2023" s="693"/>
      <c r="M2023" s="693"/>
      <c r="N2023" s="693"/>
      <c r="O2023" s="693"/>
      <c r="P2023" s="693"/>
      <c r="Q2023" s="693"/>
    </row>
    <row r="2024" spans="1:17" ht="13.5">
      <c r="A2024" s="693"/>
      <c r="B2024" s="693"/>
      <c r="C2024" s="693"/>
      <c r="D2024" s="693"/>
      <c r="E2024" s="693"/>
      <c r="F2024" s="693"/>
      <c r="G2024" s="693"/>
      <c r="H2024" s="693"/>
      <c r="I2024" s="693"/>
      <c r="J2024" s="693"/>
      <c r="K2024" s="693"/>
      <c r="L2024" s="693"/>
      <c r="M2024" s="693"/>
      <c r="N2024" s="693"/>
      <c r="O2024" s="693"/>
      <c r="P2024" s="693"/>
      <c r="Q2024" s="693"/>
    </row>
    <row r="2025" spans="1:17" ht="13.5">
      <c r="A2025" s="693"/>
      <c r="B2025" s="693"/>
      <c r="C2025" s="693"/>
      <c r="D2025" s="693"/>
      <c r="E2025" s="693"/>
      <c r="F2025" s="693"/>
      <c r="G2025" s="693"/>
      <c r="H2025" s="693"/>
      <c r="I2025" s="693"/>
      <c r="J2025" s="693"/>
      <c r="K2025" s="693"/>
      <c r="L2025" s="693"/>
      <c r="M2025" s="693"/>
      <c r="N2025" s="693"/>
      <c r="O2025" s="693"/>
      <c r="P2025" s="693"/>
      <c r="Q2025" s="693"/>
    </row>
    <row r="2026" spans="1:17" ht="13.5">
      <c r="A2026" s="693"/>
      <c r="B2026" s="693"/>
      <c r="C2026" s="693"/>
      <c r="D2026" s="693"/>
      <c r="E2026" s="693"/>
      <c r="F2026" s="693"/>
      <c r="G2026" s="693"/>
      <c r="H2026" s="693"/>
      <c r="I2026" s="693"/>
      <c r="J2026" s="693"/>
      <c r="K2026" s="693"/>
      <c r="L2026" s="693"/>
      <c r="M2026" s="693"/>
      <c r="N2026" s="693"/>
      <c r="O2026" s="693"/>
      <c r="P2026" s="693"/>
      <c r="Q2026" s="693"/>
    </row>
    <row r="2027" spans="1:17" ht="13.5">
      <c r="A2027" s="693"/>
      <c r="B2027" s="693"/>
      <c r="C2027" s="693"/>
      <c r="D2027" s="693"/>
      <c r="E2027" s="693"/>
      <c r="F2027" s="693"/>
      <c r="G2027" s="693"/>
      <c r="H2027" s="693"/>
      <c r="I2027" s="693"/>
      <c r="J2027" s="693"/>
      <c r="K2027" s="693"/>
      <c r="L2027" s="693"/>
      <c r="M2027" s="693"/>
      <c r="N2027" s="693"/>
      <c r="O2027" s="693"/>
      <c r="P2027" s="693"/>
      <c r="Q2027" s="693"/>
    </row>
    <row r="2028" spans="1:17" ht="13.5">
      <c r="A2028" s="693"/>
      <c r="B2028" s="693"/>
      <c r="C2028" s="693"/>
      <c r="D2028" s="693"/>
      <c r="E2028" s="693"/>
      <c r="F2028" s="693"/>
      <c r="G2028" s="693"/>
      <c r="H2028" s="693"/>
      <c r="I2028" s="693"/>
      <c r="J2028" s="693"/>
      <c r="K2028" s="693"/>
      <c r="L2028" s="693"/>
      <c r="M2028" s="693"/>
      <c r="N2028" s="693"/>
      <c r="O2028" s="693"/>
      <c r="P2028" s="693"/>
      <c r="Q2028" s="693"/>
    </row>
    <row r="2029" spans="1:17" ht="13.5">
      <c r="A2029" s="693"/>
      <c r="B2029" s="693"/>
      <c r="C2029" s="693"/>
      <c r="D2029" s="693"/>
      <c r="E2029" s="693"/>
      <c r="F2029" s="693"/>
      <c r="G2029" s="693"/>
      <c r="H2029" s="693"/>
      <c r="I2029" s="693"/>
      <c r="J2029" s="693"/>
      <c r="K2029" s="693"/>
      <c r="L2029" s="693"/>
      <c r="M2029" s="693"/>
      <c r="N2029" s="693"/>
      <c r="O2029" s="693"/>
      <c r="P2029" s="693"/>
      <c r="Q2029" s="693"/>
    </row>
    <row r="2030" spans="1:17" ht="13.5">
      <c r="A2030" s="693"/>
      <c r="B2030" s="693"/>
      <c r="C2030" s="693"/>
      <c r="D2030" s="693"/>
      <c r="E2030" s="693"/>
      <c r="F2030" s="693"/>
      <c r="G2030" s="693"/>
      <c r="H2030" s="693"/>
      <c r="I2030" s="693"/>
      <c r="J2030" s="693"/>
      <c r="K2030" s="693"/>
      <c r="L2030" s="693"/>
      <c r="M2030" s="693"/>
      <c r="N2030" s="693"/>
      <c r="O2030" s="693"/>
      <c r="P2030" s="693"/>
      <c r="Q2030" s="693"/>
    </row>
    <row r="2031" spans="1:17" ht="13.5">
      <c r="A2031" s="693"/>
      <c r="B2031" s="693"/>
      <c r="C2031" s="693"/>
      <c r="D2031" s="693"/>
      <c r="E2031" s="693"/>
      <c r="F2031" s="693"/>
      <c r="G2031" s="693"/>
      <c r="H2031" s="693"/>
      <c r="I2031" s="693"/>
      <c r="J2031" s="693"/>
      <c r="K2031" s="693"/>
      <c r="L2031" s="693"/>
      <c r="M2031" s="693"/>
      <c r="N2031" s="693"/>
      <c r="O2031" s="693"/>
      <c r="P2031" s="693"/>
      <c r="Q2031" s="693"/>
    </row>
    <row r="2032" spans="1:17" ht="13.5">
      <c r="A2032" s="693"/>
      <c r="B2032" s="693"/>
      <c r="C2032" s="693"/>
      <c r="D2032" s="693"/>
      <c r="E2032" s="693"/>
      <c r="F2032" s="693"/>
      <c r="G2032" s="693"/>
      <c r="H2032" s="693"/>
      <c r="I2032" s="693"/>
      <c r="J2032" s="693"/>
      <c r="K2032" s="693"/>
      <c r="L2032" s="693"/>
      <c r="M2032" s="693"/>
      <c r="N2032" s="693"/>
      <c r="O2032" s="693"/>
      <c r="P2032" s="693"/>
      <c r="Q2032" s="693"/>
    </row>
    <row r="2033" spans="1:17" ht="13.5">
      <c r="A2033" s="693"/>
      <c r="B2033" s="693"/>
      <c r="C2033" s="693"/>
      <c r="D2033" s="693"/>
      <c r="E2033" s="693"/>
      <c r="F2033" s="693"/>
      <c r="G2033" s="693"/>
      <c r="H2033" s="693"/>
      <c r="I2033" s="693"/>
      <c r="J2033" s="693"/>
      <c r="K2033" s="693"/>
      <c r="L2033" s="693"/>
      <c r="M2033" s="693"/>
      <c r="N2033" s="693"/>
      <c r="O2033" s="693"/>
      <c r="P2033" s="693"/>
      <c r="Q2033" s="693"/>
    </row>
    <row r="2034" spans="1:17" ht="13.5">
      <c r="A2034" s="693"/>
      <c r="B2034" s="693"/>
      <c r="C2034" s="693"/>
      <c r="D2034" s="693"/>
      <c r="E2034" s="693"/>
      <c r="F2034" s="693"/>
      <c r="G2034" s="693"/>
      <c r="H2034" s="693"/>
      <c r="I2034" s="693"/>
      <c r="J2034" s="693"/>
      <c r="K2034" s="693"/>
      <c r="L2034" s="693"/>
      <c r="M2034" s="693"/>
      <c r="N2034" s="693"/>
      <c r="O2034" s="693"/>
      <c r="P2034" s="693"/>
      <c r="Q2034" s="693"/>
    </row>
    <row r="2035" spans="1:17" ht="13.5">
      <c r="A2035" s="693"/>
      <c r="B2035" s="693"/>
      <c r="C2035" s="693"/>
      <c r="D2035" s="693"/>
      <c r="E2035" s="693"/>
      <c r="F2035" s="693"/>
      <c r="G2035" s="693"/>
      <c r="H2035" s="693"/>
      <c r="I2035" s="693"/>
      <c r="J2035" s="693"/>
      <c r="K2035" s="693"/>
      <c r="L2035" s="693"/>
      <c r="M2035" s="693"/>
      <c r="N2035" s="693"/>
      <c r="O2035" s="693"/>
      <c r="P2035" s="693"/>
      <c r="Q2035" s="693"/>
    </row>
    <row r="2036" spans="1:17" ht="13.5">
      <c r="A2036" s="693"/>
      <c r="B2036" s="693"/>
      <c r="C2036" s="693"/>
      <c r="D2036" s="693"/>
      <c r="E2036" s="693"/>
      <c r="F2036" s="693"/>
      <c r="G2036" s="693"/>
      <c r="H2036" s="693"/>
      <c r="I2036" s="693"/>
      <c r="J2036" s="693"/>
      <c r="K2036" s="693"/>
      <c r="L2036" s="693"/>
      <c r="M2036" s="693"/>
      <c r="N2036" s="693"/>
      <c r="O2036" s="693"/>
      <c r="P2036" s="693"/>
      <c r="Q2036" s="693"/>
    </row>
    <row r="2037" spans="1:17" ht="13.5">
      <c r="A2037" s="693"/>
      <c r="B2037" s="693"/>
      <c r="C2037" s="693"/>
      <c r="D2037" s="693"/>
      <c r="E2037" s="693"/>
      <c r="F2037" s="693"/>
      <c r="G2037" s="693"/>
      <c r="H2037" s="693"/>
      <c r="I2037" s="693"/>
      <c r="J2037" s="693"/>
      <c r="K2037" s="693"/>
      <c r="L2037" s="693"/>
      <c r="M2037" s="693"/>
      <c r="N2037" s="693"/>
      <c r="O2037" s="693"/>
      <c r="P2037" s="693"/>
      <c r="Q2037" s="693"/>
    </row>
    <row r="2038" spans="1:17" ht="13.5">
      <c r="A2038" s="693"/>
      <c r="B2038" s="693"/>
      <c r="C2038" s="693"/>
      <c r="D2038" s="693"/>
      <c r="E2038" s="693"/>
      <c r="F2038" s="693"/>
      <c r="G2038" s="693"/>
      <c r="H2038" s="693"/>
      <c r="I2038" s="693"/>
      <c r="J2038" s="693"/>
      <c r="K2038" s="693"/>
      <c r="L2038" s="693"/>
      <c r="M2038" s="693"/>
      <c r="N2038" s="693"/>
      <c r="O2038" s="693"/>
      <c r="P2038" s="693"/>
      <c r="Q2038" s="693"/>
    </row>
    <row r="2039" spans="1:17" ht="13.5">
      <c r="A2039" s="693"/>
      <c r="B2039" s="693"/>
      <c r="C2039" s="693"/>
      <c r="D2039" s="693"/>
      <c r="E2039" s="693"/>
      <c r="F2039" s="693"/>
      <c r="G2039" s="693"/>
      <c r="H2039" s="693"/>
      <c r="I2039" s="693"/>
      <c r="J2039" s="693"/>
      <c r="K2039" s="693"/>
      <c r="L2039" s="693"/>
      <c r="M2039" s="693"/>
      <c r="N2039" s="693"/>
      <c r="O2039" s="693"/>
      <c r="P2039" s="693"/>
      <c r="Q2039" s="693"/>
    </row>
    <row r="2040" spans="1:17" ht="13.5">
      <c r="A2040" s="693"/>
      <c r="B2040" s="693"/>
      <c r="C2040" s="693"/>
      <c r="D2040" s="693"/>
      <c r="E2040" s="693"/>
      <c r="F2040" s="693"/>
      <c r="G2040" s="693"/>
      <c r="H2040" s="693"/>
      <c r="I2040" s="693"/>
      <c r="J2040" s="693"/>
      <c r="K2040" s="693"/>
      <c r="L2040" s="693"/>
      <c r="M2040" s="693"/>
      <c r="N2040" s="693"/>
      <c r="O2040" s="693"/>
      <c r="P2040" s="693"/>
      <c r="Q2040" s="693"/>
    </row>
    <row r="2041" spans="1:17" ht="13.5">
      <c r="A2041" s="693"/>
      <c r="B2041" s="693"/>
      <c r="C2041" s="693"/>
      <c r="D2041" s="693"/>
      <c r="E2041" s="693"/>
      <c r="F2041" s="693"/>
      <c r="G2041" s="693"/>
      <c r="H2041" s="693"/>
      <c r="I2041" s="693"/>
      <c r="J2041" s="693"/>
      <c r="K2041" s="693"/>
      <c r="L2041" s="693"/>
      <c r="M2041" s="693"/>
      <c r="N2041" s="693"/>
      <c r="O2041" s="693"/>
      <c r="P2041" s="693"/>
      <c r="Q2041" s="693"/>
    </row>
    <row r="2042" spans="1:17" ht="13.5">
      <c r="A2042" s="693"/>
      <c r="B2042" s="693"/>
      <c r="C2042" s="693"/>
      <c r="D2042" s="693"/>
      <c r="E2042" s="693"/>
      <c r="F2042" s="693"/>
      <c r="G2042" s="693"/>
      <c r="H2042" s="693"/>
      <c r="I2042" s="693"/>
      <c r="J2042" s="693"/>
      <c r="K2042" s="693"/>
      <c r="L2042" s="693"/>
      <c r="M2042" s="693"/>
      <c r="N2042" s="693"/>
      <c r="O2042" s="693"/>
      <c r="P2042" s="693"/>
      <c r="Q2042" s="693"/>
    </row>
    <row r="2043" spans="1:17" ht="13.5">
      <c r="A2043" s="693"/>
      <c r="B2043" s="693"/>
      <c r="C2043" s="693"/>
      <c r="D2043" s="693"/>
      <c r="E2043" s="693"/>
      <c r="F2043" s="693"/>
      <c r="G2043" s="693"/>
      <c r="H2043" s="693"/>
      <c r="I2043" s="693"/>
      <c r="J2043" s="693"/>
      <c r="K2043" s="693"/>
      <c r="L2043" s="693"/>
      <c r="M2043" s="693"/>
      <c r="N2043" s="693"/>
      <c r="O2043" s="693"/>
      <c r="P2043" s="693"/>
      <c r="Q2043" s="693"/>
    </row>
    <row r="2044" spans="1:17" ht="13.5">
      <c r="A2044" s="693"/>
      <c r="B2044" s="693"/>
      <c r="C2044" s="693"/>
      <c r="D2044" s="693"/>
      <c r="E2044" s="693"/>
      <c r="F2044" s="693"/>
      <c r="G2044" s="693"/>
      <c r="H2044" s="693"/>
      <c r="I2044" s="693"/>
      <c r="J2044" s="693"/>
      <c r="K2044" s="693"/>
      <c r="L2044" s="693"/>
      <c r="M2044" s="693"/>
      <c r="N2044" s="693"/>
      <c r="O2044" s="693"/>
      <c r="P2044" s="693"/>
      <c r="Q2044" s="693"/>
    </row>
    <row r="2045" spans="1:17" ht="13.5">
      <c r="A2045" s="693"/>
      <c r="B2045" s="693"/>
      <c r="C2045" s="693"/>
      <c r="D2045" s="693"/>
      <c r="E2045" s="693"/>
      <c r="F2045" s="693"/>
      <c r="G2045" s="693"/>
      <c r="H2045" s="693"/>
      <c r="I2045" s="693"/>
      <c r="J2045" s="693"/>
      <c r="K2045" s="693"/>
      <c r="L2045" s="693"/>
      <c r="M2045" s="693"/>
      <c r="N2045" s="693"/>
      <c r="O2045" s="693"/>
      <c r="P2045" s="693"/>
      <c r="Q2045" s="693"/>
    </row>
    <row r="2046" spans="1:17" ht="13.5">
      <c r="A2046" s="693"/>
      <c r="B2046" s="693"/>
      <c r="C2046" s="693"/>
      <c r="D2046" s="693"/>
      <c r="E2046" s="693"/>
      <c r="F2046" s="693"/>
      <c r="G2046" s="693"/>
      <c r="H2046" s="693"/>
      <c r="I2046" s="693"/>
      <c r="J2046" s="693"/>
      <c r="K2046" s="693"/>
      <c r="L2046" s="693"/>
      <c r="M2046" s="693"/>
      <c r="N2046" s="693"/>
      <c r="O2046" s="693"/>
      <c r="P2046" s="693"/>
      <c r="Q2046" s="693"/>
    </row>
    <row r="2047" spans="1:17" ht="13.5">
      <c r="A2047" s="693"/>
      <c r="B2047" s="693"/>
      <c r="C2047" s="693"/>
      <c r="D2047" s="693"/>
      <c r="E2047" s="693"/>
      <c r="F2047" s="693"/>
      <c r="G2047" s="693"/>
      <c r="H2047" s="693"/>
      <c r="I2047" s="693"/>
      <c r="J2047" s="693"/>
      <c r="K2047" s="693"/>
      <c r="L2047" s="693"/>
      <c r="M2047" s="693"/>
      <c r="N2047" s="693"/>
      <c r="O2047" s="693"/>
      <c r="P2047" s="693"/>
      <c r="Q2047" s="693"/>
    </row>
    <row r="2048" spans="1:17" ht="13.5">
      <c r="A2048" s="693"/>
      <c r="B2048" s="693"/>
      <c r="C2048" s="693"/>
      <c r="D2048" s="693"/>
      <c r="E2048" s="693"/>
      <c r="F2048" s="693"/>
      <c r="G2048" s="693"/>
      <c r="H2048" s="693"/>
      <c r="I2048" s="693"/>
      <c r="J2048" s="693"/>
      <c r="K2048" s="693"/>
      <c r="L2048" s="693"/>
      <c r="M2048" s="693"/>
      <c r="N2048" s="693"/>
      <c r="O2048" s="693"/>
      <c r="P2048" s="693"/>
      <c r="Q2048" s="693"/>
    </row>
    <row r="2049" spans="1:17" ht="13.5">
      <c r="A2049" s="693"/>
      <c r="B2049" s="693"/>
      <c r="C2049" s="693"/>
      <c r="D2049" s="693"/>
      <c r="E2049" s="693"/>
      <c r="F2049" s="693"/>
      <c r="G2049" s="693"/>
      <c r="H2049" s="693"/>
      <c r="I2049" s="693"/>
      <c r="J2049" s="693"/>
      <c r="K2049" s="693"/>
      <c r="L2049" s="693"/>
      <c r="M2049" s="693"/>
      <c r="N2049" s="693"/>
      <c r="O2049" s="693"/>
      <c r="P2049" s="693"/>
      <c r="Q2049" s="693"/>
    </row>
    <row r="2050" spans="1:17" ht="13.5">
      <c r="A2050" s="693"/>
      <c r="B2050" s="693"/>
      <c r="C2050" s="693"/>
      <c r="D2050" s="693"/>
      <c r="E2050" s="693"/>
      <c r="F2050" s="693"/>
      <c r="G2050" s="693"/>
      <c r="H2050" s="693"/>
      <c r="I2050" s="693"/>
      <c r="J2050" s="693"/>
      <c r="K2050" s="693"/>
      <c r="L2050" s="693"/>
      <c r="M2050" s="693"/>
      <c r="N2050" s="693"/>
      <c r="O2050" s="693"/>
      <c r="P2050" s="693"/>
      <c r="Q2050" s="693"/>
    </row>
    <row r="2051" spans="1:17" ht="13.5">
      <c r="A2051" s="693"/>
      <c r="B2051" s="693"/>
      <c r="C2051" s="693"/>
      <c r="D2051" s="693"/>
      <c r="E2051" s="693"/>
      <c r="F2051" s="693"/>
      <c r="G2051" s="693"/>
      <c r="H2051" s="693"/>
      <c r="I2051" s="693"/>
      <c r="J2051" s="693"/>
      <c r="K2051" s="693"/>
      <c r="L2051" s="693"/>
      <c r="M2051" s="693"/>
      <c r="N2051" s="693"/>
      <c r="O2051" s="693"/>
      <c r="P2051" s="693"/>
      <c r="Q2051" s="693"/>
    </row>
    <row r="2052" spans="1:17" ht="13.5">
      <c r="A2052" s="693"/>
      <c r="B2052" s="693"/>
      <c r="C2052" s="693"/>
      <c r="D2052" s="693"/>
      <c r="E2052" s="693"/>
      <c r="F2052" s="693"/>
      <c r="G2052" s="693"/>
      <c r="H2052" s="693"/>
      <c r="I2052" s="693"/>
      <c r="J2052" s="693"/>
      <c r="K2052" s="693"/>
      <c r="L2052" s="693"/>
      <c r="M2052" s="693"/>
      <c r="N2052" s="693"/>
      <c r="O2052" s="693"/>
      <c r="P2052" s="693"/>
      <c r="Q2052" s="693"/>
    </row>
    <row r="2053" spans="1:17" ht="13.5">
      <c r="A2053" s="693"/>
      <c r="B2053" s="693"/>
      <c r="C2053" s="693"/>
      <c r="D2053" s="693"/>
      <c r="E2053" s="693"/>
      <c r="F2053" s="693"/>
      <c r="G2053" s="693"/>
      <c r="H2053" s="693"/>
      <c r="I2053" s="693"/>
      <c r="J2053" s="693"/>
      <c r="K2053" s="693"/>
      <c r="L2053" s="693"/>
      <c r="M2053" s="693"/>
      <c r="N2053" s="693"/>
      <c r="O2053" s="693"/>
      <c r="P2053" s="693"/>
      <c r="Q2053" s="693"/>
    </row>
    <row r="2054" spans="1:17" ht="13.5">
      <c r="A2054" s="693"/>
      <c r="B2054" s="693"/>
      <c r="C2054" s="693"/>
      <c r="D2054" s="693"/>
      <c r="E2054" s="693"/>
      <c r="F2054" s="693"/>
      <c r="G2054" s="693"/>
      <c r="H2054" s="693"/>
      <c r="I2054" s="693"/>
      <c r="J2054" s="693"/>
      <c r="K2054" s="693"/>
      <c r="L2054" s="693"/>
      <c r="M2054" s="693"/>
      <c r="N2054" s="693"/>
      <c r="O2054" s="693"/>
      <c r="P2054" s="693"/>
      <c r="Q2054" s="693"/>
    </row>
    <row r="2055" spans="1:17" ht="13.5">
      <c r="A2055" s="693"/>
      <c r="B2055" s="693"/>
      <c r="C2055" s="693"/>
      <c r="D2055" s="693"/>
      <c r="E2055" s="693"/>
      <c r="F2055" s="693"/>
      <c r="G2055" s="693"/>
      <c r="H2055" s="693"/>
      <c r="I2055" s="693"/>
      <c r="J2055" s="693"/>
      <c r="K2055" s="693"/>
      <c r="L2055" s="693"/>
      <c r="M2055" s="693"/>
      <c r="N2055" s="693"/>
      <c r="O2055" s="693"/>
      <c r="P2055" s="693"/>
      <c r="Q2055" s="693"/>
    </row>
    <row r="2056" spans="1:17" ht="13.5">
      <c r="A2056" s="693"/>
      <c r="B2056" s="693"/>
      <c r="C2056" s="693"/>
      <c r="D2056" s="693"/>
      <c r="E2056" s="693"/>
      <c r="F2056" s="693"/>
      <c r="G2056" s="693"/>
      <c r="H2056" s="693"/>
      <c r="I2056" s="693"/>
      <c r="J2056" s="693"/>
      <c r="K2056" s="693"/>
      <c r="L2056" s="693"/>
      <c r="M2056" s="693"/>
      <c r="N2056" s="693"/>
      <c r="O2056" s="693"/>
      <c r="P2056" s="693"/>
      <c r="Q2056" s="693"/>
    </row>
    <row r="2057" spans="1:17" ht="13.5">
      <c r="A2057" s="693"/>
      <c r="B2057" s="693"/>
      <c r="C2057" s="693"/>
      <c r="D2057" s="693"/>
      <c r="E2057" s="693"/>
      <c r="F2057" s="693"/>
      <c r="G2057" s="693"/>
      <c r="H2057" s="693"/>
      <c r="I2057" s="693"/>
      <c r="J2057" s="693"/>
      <c r="K2057" s="693"/>
      <c r="L2057" s="693"/>
      <c r="M2057" s="693"/>
      <c r="N2057" s="693"/>
      <c r="O2057" s="693"/>
      <c r="P2057" s="693"/>
      <c r="Q2057" s="693"/>
    </row>
    <row r="2058" spans="1:17" ht="13.5">
      <c r="A2058" s="693"/>
      <c r="B2058" s="693"/>
      <c r="C2058" s="693"/>
      <c r="D2058" s="693"/>
      <c r="E2058" s="693"/>
      <c r="F2058" s="693"/>
      <c r="G2058" s="693"/>
      <c r="H2058" s="693"/>
      <c r="I2058" s="693"/>
      <c r="J2058" s="693"/>
      <c r="K2058" s="693"/>
      <c r="L2058" s="693"/>
      <c r="M2058" s="693"/>
      <c r="N2058" s="693"/>
      <c r="O2058" s="693"/>
      <c r="P2058" s="693"/>
      <c r="Q2058" s="693"/>
    </row>
    <row r="2059" spans="1:17" ht="13.5">
      <c r="A2059" s="693"/>
      <c r="B2059" s="693"/>
      <c r="C2059" s="693"/>
      <c r="D2059" s="693"/>
      <c r="E2059" s="693"/>
      <c r="F2059" s="693"/>
      <c r="G2059" s="693"/>
      <c r="H2059" s="693"/>
      <c r="I2059" s="693"/>
      <c r="J2059" s="693"/>
      <c r="K2059" s="693"/>
      <c r="L2059" s="693"/>
      <c r="M2059" s="693"/>
      <c r="N2059" s="693"/>
      <c r="O2059" s="693"/>
      <c r="P2059" s="693"/>
      <c r="Q2059" s="693"/>
    </row>
    <row r="2060" spans="1:17" ht="13.5">
      <c r="A2060" s="693"/>
      <c r="B2060" s="693"/>
      <c r="C2060" s="693"/>
      <c r="D2060" s="693"/>
      <c r="E2060" s="693"/>
      <c r="F2060" s="693"/>
      <c r="G2060" s="693"/>
      <c r="H2060" s="693"/>
      <c r="I2060" s="693"/>
      <c r="J2060" s="693"/>
      <c r="K2060" s="693"/>
      <c r="L2060" s="693"/>
      <c r="M2060" s="693"/>
      <c r="N2060" s="693"/>
      <c r="O2060" s="693"/>
      <c r="P2060" s="693"/>
      <c r="Q2060" s="693"/>
    </row>
    <row r="2061" spans="1:17" ht="13.5">
      <c r="A2061" s="693"/>
      <c r="B2061" s="693"/>
      <c r="C2061" s="693"/>
      <c r="D2061" s="693"/>
      <c r="E2061" s="693"/>
      <c r="F2061" s="693"/>
      <c r="G2061" s="693"/>
      <c r="H2061" s="693"/>
      <c r="I2061" s="693"/>
      <c r="J2061" s="693"/>
      <c r="K2061" s="693"/>
      <c r="L2061" s="693"/>
      <c r="M2061" s="693"/>
      <c r="N2061" s="693"/>
      <c r="O2061" s="693"/>
      <c r="P2061" s="693"/>
      <c r="Q2061" s="693"/>
    </row>
    <row r="2062" spans="1:17" ht="13.5">
      <c r="A2062" s="693"/>
      <c r="B2062" s="693"/>
      <c r="C2062" s="693"/>
      <c r="D2062" s="693"/>
      <c r="E2062" s="693"/>
      <c r="F2062" s="693"/>
      <c r="G2062" s="693"/>
      <c r="H2062" s="693"/>
      <c r="I2062" s="693"/>
      <c r="J2062" s="693"/>
      <c r="K2062" s="693"/>
      <c r="L2062" s="693"/>
      <c r="M2062" s="693"/>
      <c r="N2062" s="693"/>
      <c r="O2062" s="693"/>
      <c r="P2062" s="693"/>
      <c r="Q2062" s="693"/>
    </row>
    <row r="2063" spans="1:17" ht="13.5">
      <c r="A2063" s="693"/>
      <c r="B2063" s="693"/>
      <c r="C2063" s="693"/>
      <c r="D2063" s="693"/>
      <c r="E2063" s="693"/>
      <c r="F2063" s="693"/>
      <c r="G2063" s="693"/>
      <c r="H2063" s="693"/>
      <c r="I2063" s="693"/>
      <c r="J2063" s="693"/>
      <c r="K2063" s="693"/>
      <c r="L2063" s="693"/>
      <c r="M2063" s="693"/>
      <c r="N2063" s="693"/>
      <c r="O2063" s="693"/>
      <c r="P2063" s="693"/>
      <c r="Q2063" s="693"/>
    </row>
    <row r="2064" spans="1:17" ht="13.5">
      <c r="A2064" s="693"/>
      <c r="B2064" s="693"/>
      <c r="C2064" s="693"/>
      <c r="D2064" s="693"/>
      <c r="E2064" s="693"/>
      <c r="F2064" s="693"/>
      <c r="G2064" s="693"/>
      <c r="H2064" s="693"/>
      <c r="I2064" s="693"/>
      <c r="J2064" s="693"/>
      <c r="K2064" s="693"/>
      <c r="L2064" s="693"/>
      <c r="M2064" s="693"/>
      <c r="N2064" s="693"/>
      <c r="O2064" s="693"/>
      <c r="P2064" s="693"/>
      <c r="Q2064" s="693"/>
    </row>
    <row r="2065" spans="1:17" ht="13.5">
      <c r="A2065" s="693"/>
      <c r="B2065" s="693"/>
      <c r="C2065" s="693"/>
      <c r="D2065" s="693"/>
      <c r="E2065" s="693"/>
      <c r="F2065" s="693"/>
      <c r="G2065" s="693"/>
      <c r="H2065" s="693"/>
      <c r="I2065" s="693"/>
      <c r="J2065" s="693"/>
      <c r="K2065" s="693"/>
      <c r="L2065" s="693"/>
      <c r="M2065" s="693"/>
      <c r="N2065" s="693"/>
      <c r="O2065" s="693"/>
      <c r="P2065" s="693"/>
      <c r="Q2065" s="693"/>
    </row>
    <row r="2066" spans="1:17" ht="13.5">
      <c r="A2066" s="693"/>
      <c r="B2066" s="693"/>
      <c r="C2066" s="693"/>
      <c r="D2066" s="693"/>
      <c r="E2066" s="693"/>
      <c r="F2066" s="693"/>
      <c r="G2066" s="693"/>
      <c r="H2066" s="693"/>
      <c r="I2066" s="693"/>
      <c r="J2066" s="693"/>
      <c r="K2066" s="693"/>
      <c r="L2066" s="693"/>
      <c r="M2066" s="693"/>
      <c r="N2066" s="693"/>
      <c r="O2066" s="693"/>
      <c r="P2066" s="693"/>
      <c r="Q2066" s="693"/>
    </row>
    <row r="2067" spans="1:17" ht="13.5">
      <c r="A2067" s="693"/>
      <c r="B2067" s="693"/>
      <c r="C2067" s="693"/>
      <c r="D2067" s="693"/>
      <c r="E2067" s="693"/>
      <c r="F2067" s="693"/>
      <c r="G2067" s="693"/>
      <c r="H2067" s="693"/>
      <c r="I2067" s="693"/>
      <c r="J2067" s="693"/>
      <c r="K2067" s="693"/>
      <c r="L2067" s="693"/>
      <c r="M2067" s="693"/>
      <c r="N2067" s="693"/>
      <c r="O2067" s="693"/>
      <c r="P2067" s="693"/>
      <c r="Q2067" s="693"/>
    </row>
    <row r="2068" spans="1:17" ht="13.5">
      <c r="A2068" s="693"/>
      <c r="B2068" s="693"/>
      <c r="C2068" s="693"/>
      <c r="D2068" s="693"/>
      <c r="E2068" s="693"/>
      <c r="F2068" s="693"/>
      <c r="G2068" s="693"/>
      <c r="H2068" s="693"/>
      <c r="I2068" s="693"/>
      <c r="J2068" s="693"/>
      <c r="K2068" s="693"/>
      <c r="L2068" s="693"/>
      <c r="M2068" s="693"/>
      <c r="N2068" s="693"/>
      <c r="O2068" s="693"/>
      <c r="P2068" s="693"/>
      <c r="Q2068" s="693"/>
    </row>
    <row r="2069" spans="1:17" ht="13.5">
      <c r="A2069" s="693"/>
      <c r="B2069" s="693"/>
      <c r="C2069" s="693"/>
      <c r="D2069" s="693"/>
      <c r="E2069" s="693"/>
      <c r="F2069" s="693"/>
      <c r="G2069" s="693"/>
      <c r="H2069" s="693"/>
      <c r="I2069" s="693"/>
      <c r="J2069" s="693"/>
      <c r="K2069" s="693"/>
      <c r="L2069" s="693"/>
      <c r="M2069" s="693"/>
      <c r="N2069" s="693"/>
      <c r="O2069" s="693"/>
      <c r="P2069" s="693"/>
      <c r="Q2069" s="693"/>
    </row>
    <row r="2070" spans="1:17" ht="13.5">
      <c r="A2070" s="693"/>
      <c r="B2070" s="693"/>
      <c r="C2070" s="693"/>
      <c r="D2070" s="693"/>
      <c r="E2070" s="693"/>
      <c r="F2070" s="693"/>
      <c r="G2070" s="693"/>
      <c r="H2070" s="693"/>
      <c r="I2070" s="693"/>
      <c r="J2070" s="693"/>
      <c r="K2070" s="693"/>
      <c r="L2070" s="693"/>
      <c r="M2070" s="693"/>
      <c r="N2070" s="693"/>
      <c r="O2070" s="693"/>
      <c r="P2070" s="693"/>
      <c r="Q2070" s="693"/>
    </row>
    <row r="2071" spans="1:17" ht="13.5">
      <c r="A2071" s="693"/>
      <c r="B2071" s="693"/>
      <c r="C2071" s="693"/>
      <c r="D2071" s="693"/>
      <c r="E2071" s="693"/>
      <c r="F2071" s="693"/>
      <c r="G2071" s="693"/>
      <c r="H2071" s="693"/>
      <c r="I2071" s="693"/>
      <c r="J2071" s="693"/>
      <c r="K2071" s="693"/>
      <c r="L2071" s="693"/>
      <c r="M2071" s="693"/>
      <c r="N2071" s="693"/>
      <c r="O2071" s="693"/>
      <c r="P2071" s="693"/>
      <c r="Q2071" s="693"/>
    </row>
    <row r="2072" spans="1:17" ht="13.5">
      <c r="A2072" s="693"/>
      <c r="B2072" s="693"/>
      <c r="C2072" s="693"/>
      <c r="D2072" s="693"/>
      <c r="E2072" s="693"/>
      <c r="F2072" s="693"/>
      <c r="G2072" s="693"/>
      <c r="H2072" s="693"/>
      <c r="I2072" s="693"/>
      <c r="J2072" s="693"/>
      <c r="K2072" s="693"/>
      <c r="L2072" s="693"/>
      <c r="M2072" s="693"/>
      <c r="N2072" s="693"/>
      <c r="O2072" s="693"/>
      <c r="P2072" s="693"/>
      <c r="Q2072" s="693"/>
    </row>
    <row r="2073" spans="1:17" ht="13.5">
      <c r="A2073" s="693"/>
      <c r="B2073" s="693"/>
      <c r="C2073" s="693"/>
      <c r="D2073" s="693"/>
      <c r="E2073" s="693"/>
      <c r="F2073" s="693"/>
      <c r="G2073" s="693"/>
      <c r="H2073" s="693"/>
      <c r="I2073" s="693"/>
      <c r="J2073" s="693"/>
      <c r="K2073" s="693"/>
      <c r="L2073" s="693"/>
      <c r="M2073" s="693"/>
      <c r="N2073" s="693"/>
      <c r="O2073" s="693"/>
      <c r="P2073" s="693"/>
      <c r="Q2073" s="693"/>
    </row>
    <row r="2074" spans="1:17" ht="13.5">
      <c r="A2074" s="693"/>
      <c r="B2074" s="693"/>
      <c r="C2074" s="693"/>
      <c r="D2074" s="693"/>
      <c r="E2074" s="693"/>
      <c r="F2074" s="693"/>
      <c r="G2074" s="693"/>
      <c r="H2074" s="693"/>
      <c r="I2074" s="693"/>
      <c r="J2074" s="693"/>
      <c r="K2074" s="693"/>
      <c r="L2074" s="693"/>
      <c r="M2074" s="693"/>
      <c r="N2074" s="693"/>
      <c r="O2074" s="693"/>
      <c r="P2074" s="693"/>
      <c r="Q2074" s="693"/>
    </row>
    <row r="2075" spans="1:17" ht="13.5">
      <c r="A2075" s="693"/>
      <c r="B2075" s="693"/>
      <c r="C2075" s="693"/>
      <c r="D2075" s="693"/>
      <c r="E2075" s="693"/>
      <c r="F2075" s="693"/>
      <c r="G2075" s="693"/>
      <c r="H2075" s="693"/>
      <c r="I2075" s="693"/>
      <c r="J2075" s="693"/>
      <c r="K2075" s="693"/>
      <c r="L2075" s="693"/>
      <c r="M2075" s="693"/>
      <c r="N2075" s="693"/>
      <c r="O2075" s="693"/>
      <c r="P2075" s="693"/>
      <c r="Q2075" s="693"/>
    </row>
    <row r="2076" spans="1:17" ht="13.5">
      <c r="A2076" s="693"/>
      <c r="B2076" s="693"/>
      <c r="C2076" s="693"/>
      <c r="D2076" s="693"/>
      <c r="E2076" s="693"/>
      <c r="F2076" s="693"/>
      <c r="G2076" s="693"/>
      <c r="H2076" s="693"/>
      <c r="I2076" s="693"/>
      <c r="J2076" s="693"/>
      <c r="K2076" s="693"/>
      <c r="L2076" s="693"/>
      <c r="M2076" s="693"/>
      <c r="N2076" s="693"/>
      <c r="O2076" s="693"/>
      <c r="P2076" s="693"/>
      <c r="Q2076" s="693"/>
    </row>
    <row r="2077" spans="1:17" ht="13.5">
      <c r="A2077" s="693"/>
      <c r="B2077" s="693"/>
      <c r="C2077" s="693"/>
      <c r="D2077" s="693"/>
      <c r="E2077" s="693"/>
      <c r="F2077" s="693"/>
      <c r="G2077" s="693"/>
      <c r="H2077" s="693"/>
      <c r="I2077" s="693"/>
      <c r="J2077" s="693"/>
      <c r="K2077" s="693"/>
      <c r="L2077" s="693"/>
      <c r="M2077" s="693"/>
      <c r="N2077" s="693"/>
      <c r="O2077" s="693"/>
      <c r="P2077" s="693"/>
      <c r="Q2077" s="693"/>
    </row>
    <row r="2078" spans="1:17" ht="13.5">
      <c r="A2078" s="693"/>
      <c r="B2078" s="693"/>
      <c r="C2078" s="693"/>
      <c r="D2078" s="693"/>
      <c r="E2078" s="693"/>
      <c r="F2078" s="693"/>
      <c r="G2078" s="693"/>
      <c r="H2078" s="693"/>
      <c r="I2078" s="693"/>
      <c r="J2078" s="693"/>
      <c r="K2078" s="693"/>
      <c r="L2078" s="693"/>
      <c r="M2078" s="693"/>
      <c r="N2078" s="693"/>
      <c r="O2078" s="693"/>
      <c r="P2078" s="693"/>
      <c r="Q2078" s="693"/>
    </row>
    <row r="2079" spans="1:17" ht="13.5">
      <c r="A2079" s="693"/>
      <c r="B2079" s="693"/>
      <c r="C2079" s="693"/>
      <c r="D2079" s="693"/>
      <c r="E2079" s="693"/>
      <c r="F2079" s="693"/>
      <c r="G2079" s="693"/>
      <c r="H2079" s="693"/>
      <c r="I2079" s="693"/>
      <c r="J2079" s="693"/>
      <c r="K2079" s="693"/>
      <c r="L2079" s="693"/>
      <c r="M2079" s="693"/>
      <c r="N2079" s="693"/>
      <c r="O2079" s="693"/>
      <c r="P2079" s="693"/>
      <c r="Q2079" s="693"/>
    </row>
    <row r="2080" spans="1:17" ht="13.5">
      <c r="A2080" s="693"/>
      <c r="B2080" s="693"/>
      <c r="C2080" s="693"/>
      <c r="D2080" s="693"/>
      <c r="E2080" s="693"/>
      <c r="F2080" s="693"/>
      <c r="G2080" s="693"/>
      <c r="H2080" s="693"/>
      <c r="I2080" s="693"/>
      <c r="J2080" s="693"/>
      <c r="K2080" s="693"/>
      <c r="L2080" s="693"/>
      <c r="M2080" s="693"/>
      <c r="N2080" s="693"/>
      <c r="O2080" s="693"/>
      <c r="P2080" s="693"/>
      <c r="Q2080" s="693"/>
    </row>
    <row r="2081" spans="1:17" ht="13.5">
      <c r="A2081" s="693"/>
      <c r="B2081" s="693"/>
      <c r="C2081" s="693"/>
      <c r="D2081" s="693"/>
      <c r="E2081" s="693"/>
      <c r="F2081" s="693"/>
      <c r="G2081" s="693"/>
      <c r="H2081" s="693"/>
      <c r="I2081" s="693"/>
      <c r="J2081" s="693"/>
      <c r="K2081" s="693"/>
      <c r="L2081" s="693"/>
      <c r="M2081" s="693"/>
      <c r="N2081" s="693"/>
      <c r="O2081" s="693"/>
      <c r="P2081" s="693"/>
      <c r="Q2081" s="693"/>
    </row>
    <row r="2082" spans="1:17" ht="13.5">
      <c r="A2082" s="693"/>
      <c r="B2082" s="693"/>
      <c r="C2082" s="693"/>
      <c r="D2082" s="693"/>
      <c r="E2082" s="693"/>
      <c r="F2082" s="693"/>
      <c r="G2082" s="693"/>
      <c r="H2082" s="693"/>
      <c r="I2082" s="693"/>
      <c r="J2082" s="693"/>
      <c r="K2082" s="693"/>
      <c r="L2082" s="693"/>
      <c r="M2082" s="693"/>
      <c r="N2082" s="693"/>
      <c r="O2082" s="693"/>
      <c r="P2082" s="693"/>
      <c r="Q2082" s="693"/>
    </row>
    <row r="2083" spans="1:17" ht="13.5">
      <c r="A2083" s="693"/>
      <c r="B2083" s="693"/>
      <c r="C2083" s="693"/>
      <c r="D2083" s="693"/>
      <c r="E2083" s="693"/>
      <c r="F2083" s="693"/>
      <c r="G2083" s="693"/>
      <c r="H2083" s="693"/>
      <c r="I2083" s="693"/>
      <c r="J2083" s="693"/>
      <c r="K2083" s="693"/>
      <c r="L2083" s="693"/>
      <c r="M2083" s="693"/>
      <c r="N2083" s="693"/>
      <c r="O2083" s="693"/>
      <c r="P2083" s="693"/>
      <c r="Q2083" s="693"/>
    </row>
    <row r="2084" spans="1:17" ht="13.5">
      <c r="A2084" s="693"/>
      <c r="B2084" s="693"/>
      <c r="C2084" s="693"/>
      <c r="D2084" s="693"/>
      <c r="E2084" s="693"/>
      <c r="F2084" s="693"/>
      <c r="G2084" s="693"/>
      <c r="H2084" s="693"/>
      <c r="I2084" s="693"/>
      <c r="J2084" s="693"/>
      <c r="K2084" s="693"/>
      <c r="L2084" s="693"/>
      <c r="M2084" s="693"/>
      <c r="N2084" s="693"/>
      <c r="O2084" s="693"/>
      <c r="P2084" s="693"/>
      <c r="Q2084" s="693"/>
    </row>
    <row r="2085" spans="1:17" ht="13.5">
      <c r="A2085" s="693"/>
      <c r="B2085" s="693"/>
      <c r="C2085" s="693"/>
      <c r="D2085" s="693"/>
      <c r="E2085" s="693"/>
      <c r="F2085" s="693"/>
      <c r="G2085" s="693"/>
      <c r="H2085" s="693"/>
      <c r="I2085" s="693"/>
      <c r="J2085" s="693"/>
      <c r="K2085" s="693"/>
      <c r="L2085" s="693"/>
      <c r="M2085" s="693"/>
      <c r="N2085" s="693"/>
      <c r="O2085" s="693"/>
      <c r="P2085" s="693"/>
      <c r="Q2085" s="693"/>
    </row>
    <row r="2086" spans="1:17" ht="13.5">
      <c r="A2086" s="693"/>
      <c r="B2086" s="693"/>
      <c r="C2086" s="693"/>
      <c r="D2086" s="693"/>
      <c r="E2086" s="693"/>
      <c r="F2086" s="693"/>
      <c r="G2086" s="693"/>
      <c r="H2086" s="693"/>
      <c r="I2086" s="693"/>
      <c r="J2086" s="693"/>
      <c r="K2086" s="693"/>
      <c r="L2086" s="693"/>
      <c r="M2086" s="693"/>
      <c r="N2086" s="693"/>
      <c r="O2086" s="693"/>
      <c r="P2086" s="693"/>
      <c r="Q2086" s="693"/>
    </row>
    <row r="2087" spans="1:17" ht="13.5">
      <c r="A2087" s="693"/>
      <c r="B2087" s="693"/>
      <c r="C2087" s="693"/>
      <c r="D2087" s="693"/>
      <c r="E2087" s="693"/>
      <c r="F2087" s="693"/>
      <c r="G2087" s="693"/>
      <c r="H2087" s="693"/>
      <c r="I2087" s="693"/>
      <c r="J2087" s="693"/>
      <c r="K2087" s="693"/>
      <c r="L2087" s="693"/>
      <c r="M2087" s="693"/>
      <c r="N2087" s="693"/>
      <c r="O2087" s="693"/>
      <c r="P2087" s="693"/>
      <c r="Q2087" s="693"/>
    </row>
    <row r="2088" spans="1:17" ht="13.5">
      <c r="A2088" s="693"/>
      <c r="B2088" s="693"/>
      <c r="C2088" s="693"/>
      <c r="D2088" s="693"/>
      <c r="E2088" s="693"/>
      <c r="F2088" s="693"/>
      <c r="G2088" s="693"/>
      <c r="H2088" s="693"/>
      <c r="I2088" s="693"/>
      <c r="J2088" s="693"/>
      <c r="K2088" s="693"/>
      <c r="L2088" s="693"/>
      <c r="M2088" s="693"/>
      <c r="N2088" s="693"/>
      <c r="O2088" s="693"/>
      <c r="P2088" s="693"/>
      <c r="Q2088" s="693"/>
    </row>
    <row r="2089" spans="1:17" ht="13.5">
      <c r="A2089" s="693"/>
      <c r="B2089" s="693"/>
      <c r="C2089" s="693"/>
      <c r="D2089" s="693"/>
      <c r="E2089" s="693"/>
      <c r="F2089" s="693"/>
      <c r="G2089" s="693"/>
      <c r="H2089" s="693"/>
      <c r="I2089" s="693"/>
      <c r="J2089" s="693"/>
      <c r="K2089" s="693"/>
      <c r="L2089" s="693"/>
      <c r="M2089" s="693"/>
      <c r="N2089" s="693"/>
      <c r="O2089" s="693"/>
      <c r="P2089" s="693"/>
      <c r="Q2089" s="693"/>
    </row>
    <row r="2090" spans="1:17" ht="13.5">
      <c r="A2090" s="693"/>
      <c r="B2090" s="693"/>
      <c r="C2090" s="693"/>
      <c r="D2090" s="693"/>
      <c r="E2090" s="693"/>
      <c r="F2090" s="693"/>
      <c r="G2090" s="693"/>
      <c r="H2090" s="693"/>
      <c r="I2090" s="693"/>
      <c r="J2090" s="693"/>
      <c r="K2090" s="693"/>
      <c r="L2090" s="693"/>
      <c r="M2090" s="693"/>
      <c r="N2090" s="693"/>
      <c r="O2090" s="693"/>
      <c r="P2090" s="693"/>
      <c r="Q2090" s="693"/>
    </row>
    <row r="2091" spans="1:17" ht="13.5">
      <c r="A2091" s="693"/>
      <c r="B2091" s="693"/>
      <c r="C2091" s="693"/>
      <c r="D2091" s="693"/>
      <c r="E2091" s="693"/>
      <c r="F2091" s="693"/>
      <c r="G2091" s="693"/>
      <c r="H2091" s="693"/>
      <c r="I2091" s="693"/>
      <c r="J2091" s="693"/>
      <c r="K2091" s="693"/>
      <c r="L2091" s="693"/>
      <c r="M2091" s="693"/>
      <c r="N2091" s="693"/>
      <c r="O2091" s="693"/>
      <c r="P2091" s="693"/>
      <c r="Q2091" s="693"/>
    </row>
    <row r="2092" spans="1:17" ht="13.5">
      <c r="A2092" s="693"/>
      <c r="B2092" s="693"/>
      <c r="C2092" s="693"/>
      <c r="D2092" s="693"/>
      <c r="E2092" s="693"/>
      <c r="F2092" s="693"/>
      <c r="G2092" s="693"/>
      <c r="H2092" s="693"/>
      <c r="I2092" s="693"/>
      <c r="J2092" s="693"/>
      <c r="K2092" s="693"/>
      <c r="L2092" s="693"/>
      <c r="M2092" s="693"/>
      <c r="N2092" s="693"/>
      <c r="O2092" s="693"/>
      <c r="P2092" s="693"/>
      <c r="Q2092" s="693"/>
    </row>
    <row r="2093" spans="1:17" ht="13.5">
      <c r="A2093" s="693"/>
      <c r="B2093" s="693"/>
      <c r="C2093" s="693"/>
      <c r="D2093" s="693"/>
      <c r="E2093" s="693"/>
      <c r="F2093" s="693"/>
      <c r="G2093" s="693"/>
      <c r="H2093" s="693"/>
      <c r="I2093" s="693"/>
      <c r="J2093" s="693"/>
      <c r="K2093" s="693"/>
      <c r="L2093" s="693"/>
      <c r="M2093" s="693"/>
      <c r="N2093" s="693"/>
      <c r="O2093" s="693"/>
      <c r="P2093" s="693"/>
      <c r="Q2093" s="693"/>
    </row>
    <row r="2094" spans="1:17" ht="13.5">
      <c r="A2094" s="693"/>
      <c r="B2094" s="693"/>
      <c r="C2094" s="693"/>
      <c r="D2094" s="693"/>
      <c r="E2094" s="693"/>
      <c r="F2094" s="693"/>
      <c r="G2094" s="693"/>
      <c r="H2094" s="693"/>
      <c r="I2094" s="693"/>
      <c r="J2094" s="693"/>
      <c r="K2094" s="693"/>
      <c r="L2094" s="693"/>
      <c r="M2094" s="693"/>
      <c r="N2094" s="693"/>
      <c r="O2094" s="693"/>
      <c r="P2094" s="693"/>
      <c r="Q2094" s="693"/>
    </row>
    <row r="2095" spans="1:17" ht="13.5">
      <c r="A2095" s="693"/>
      <c r="B2095" s="693"/>
      <c r="C2095" s="693"/>
      <c r="D2095" s="693"/>
      <c r="E2095" s="693"/>
      <c r="F2095" s="693"/>
      <c r="G2095" s="693"/>
      <c r="H2095" s="693"/>
      <c r="I2095" s="693"/>
      <c r="J2095" s="693"/>
      <c r="K2095" s="693"/>
      <c r="L2095" s="693"/>
      <c r="M2095" s="693"/>
      <c r="N2095" s="693"/>
      <c r="O2095" s="693"/>
      <c r="P2095" s="693"/>
      <c r="Q2095" s="693"/>
    </row>
    <row r="2096" spans="1:17" ht="13.5">
      <c r="A2096" s="693"/>
      <c r="B2096" s="693"/>
      <c r="C2096" s="693"/>
      <c r="D2096" s="693"/>
      <c r="E2096" s="693"/>
      <c r="F2096" s="693"/>
      <c r="G2096" s="693"/>
      <c r="H2096" s="693"/>
      <c r="I2096" s="693"/>
      <c r="J2096" s="693"/>
      <c r="K2096" s="693"/>
      <c r="L2096" s="693"/>
      <c r="M2096" s="693"/>
      <c r="N2096" s="693"/>
      <c r="O2096" s="693"/>
      <c r="P2096" s="693"/>
      <c r="Q2096" s="693"/>
    </row>
    <row r="2097" spans="1:17" ht="13.5">
      <c r="A2097" s="693"/>
      <c r="B2097" s="693"/>
      <c r="C2097" s="693"/>
      <c r="D2097" s="693"/>
      <c r="E2097" s="693"/>
      <c r="F2097" s="693"/>
      <c r="G2097" s="693"/>
      <c r="H2097" s="693"/>
      <c r="I2097" s="693"/>
      <c r="J2097" s="693"/>
      <c r="K2097" s="693"/>
      <c r="L2097" s="693"/>
      <c r="M2097" s="693"/>
      <c r="N2097" s="693"/>
      <c r="O2097" s="693"/>
      <c r="P2097" s="693"/>
      <c r="Q2097" s="693"/>
    </row>
    <row r="2098" spans="1:17" ht="13.5">
      <c r="A2098" s="693"/>
      <c r="B2098" s="693"/>
      <c r="C2098" s="693"/>
      <c r="D2098" s="693"/>
      <c r="E2098" s="693"/>
      <c r="F2098" s="693"/>
      <c r="G2098" s="693"/>
      <c r="H2098" s="693"/>
      <c r="I2098" s="693"/>
      <c r="J2098" s="693"/>
      <c r="K2098" s="693"/>
      <c r="L2098" s="693"/>
      <c r="M2098" s="693"/>
      <c r="N2098" s="693"/>
      <c r="O2098" s="693"/>
      <c r="P2098" s="693"/>
      <c r="Q2098" s="693"/>
    </row>
    <row r="2099" spans="1:17" ht="13.5">
      <c r="A2099" s="693"/>
      <c r="B2099" s="693"/>
      <c r="C2099" s="693"/>
      <c r="D2099" s="693"/>
      <c r="E2099" s="693"/>
      <c r="F2099" s="693"/>
      <c r="G2099" s="693"/>
      <c r="H2099" s="693"/>
      <c r="I2099" s="693"/>
      <c r="J2099" s="693"/>
      <c r="K2099" s="693"/>
      <c r="L2099" s="693"/>
      <c r="M2099" s="693"/>
      <c r="N2099" s="693"/>
      <c r="O2099" s="693"/>
      <c r="P2099" s="693"/>
      <c r="Q2099" s="693"/>
    </row>
    <row r="2100" spans="1:17" ht="13.5">
      <c r="A2100" s="693"/>
      <c r="B2100" s="693"/>
      <c r="C2100" s="693"/>
      <c r="D2100" s="693"/>
      <c r="E2100" s="693"/>
      <c r="F2100" s="693"/>
      <c r="G2100" s="693"/>
      <c r="H2100" s="693"/>
      <c r="I2100" s="693"/>
      <c r="J2100" s="693"/>
      <c r="K2100" s="693"/>
      <c r="L2100" s="693"/>
      <c r="M2100" s="693"/>
      <c r="N2100" s="693"/>
      <c r="O2100" s="693"/>
      <c r="P2100" s="693"/>
      <c r="Q2100" s="693"/>
    </row>
    <row r="2101" spans="1:17" ht="13.5">
      <c r="A2101" s="693"/>
      <c r="B2101" s="693"/>
      <c r="C2101" s="693"/>
      <c r="D2101" s="693"/>
      <c r="E2101" s="693"/>
      <c r="F2101" s="693"/>
      <c r="G2101" s="693"/>
      <c r="H2101" s="693"/>
      <c r="I2101" s="693"/>
      <c r="J2101" s="693"/>
      <c r="K2101" s="693"/>
      <c r="L2101" s="693"/>
      <c r="M2101" s="693"/>
      <c r="N2101" s="693"/>
      <c r="O2101" s="693"/>
      <c r="P2101" s="693"/>
      <c r="Q2101" s="693"/>
    </row>
    <row r="2102" spans="1:17" ht="13.5">
      <c r="A2102" s="693"/>
      <c r="B2102" s="693"/>
      <c r="C2102" s="693"/>
      <c r="D2102" s="693"/>
      <c r="E2102" s="693"/>
      <c r="F2102" s="693"/>
      <c r="G2102" s="693"/>
      <c r="H2102" s="693"/>
      <c r="I2102" s="693"/>
      <c r="J2102" s="693"/>
      <c r="K2102" s="693"/>
      <c r="L2102" s="693"/>
      <c r="M2102" s="693"/>
      <c r="N2102" s="693"/>
      <c r="O2102" s="693"/>
      <c r="P2102" s="693"/>
      <c r="Q2102" s="693"/>
    </row>
    <row r="2103" spans="1:17" ht="13.5">
      <c r="A2103" s="693"/>
      <c r="B2103" s="693"/>
      <c r="C2103" s="693"/>
      <c r="D2103" s="693"/>
      <c r="E2103" s="693"/>
      <c r="F2103" s="693"/>
      <c r="G2103" s="693"/>
      <c r="H2103" s="693"/>
      <c r="I2103" s="693"/>
      <c r="J2103" s="693"/>
      <c r="K2103" s="693"/>
      <c r="L2103" s="693"/>
      <c r="M2103" s="693"/>
      <c r="N2103" s="693"/>
      <c r="O2103" s="693"/>
      <c r="P2103" s="693"/>
      <c r="Q2103" s="693"/>
    </row>
    <row r="2104" spans="1:17" ht="13.5">
      <c r="A2104" s="693"/>
      <c r="B2104" s="693"/>
      <c r="C2104" s="693"/>
      <c r="D2104" s="693"/>
      <c r="E2104" s="693"/>
      <c r="F2104" s="693"/>
      <c r="G2104" s="693"/>
      <c r="H2104" s="693"/>
      <c r="I2104" s="693"/>
      <c r="J2104" s="693"/>
      <c r="K2104" s="693"/>
      <c r="L2104" s="693"/>
      <c r="M2104" s="693"/>
      <c r="N2104" s="693"/>
      <c r="O2104" s="693"/>
      <c r="P2104" s="693"/>
      <c r="Q2104" s="693"/>
    </row>
    <row r="2105" spans="1:17" ht="13.5">
      <c r="A2105" s="693"/>
      <c r="B2105" s="693"/>
      <c r="C2105" s="693"/>
      <c r="D2105" s="693"/>
      <c r="E2105" s="693"/>
      <c r="F2105" s="693"/>
      <c r="G2105" s="693"/>
      <c r="H2105" s="693"/>
      <c r="I2105" s="693"/>
      <c r="J2105" s="693"/>
      <c r="K2105" s="693"/>
      <c r="L2105" s="693"/>
      <c r="M2105" s="693"/>
      <c r="N2105" s="693"/>
      <c r="O2105" s="693"/>
      <c r="P2105" s="693"/>
      <c r="Q2105" s="693"/>
    </row>
    <row r="2106" spans="1:17" ht="13.5">
      <c r="A2106" s="693"/>
      <c r="B2106" s="693"/>
      <c r="C2106" s="693"/>
      <c r="D2106" s="693"/>
      <c r="E2106" s="693"/>
      <c r="F2106" s="693"/>
      <c r="G2106" s="693"/>
      <c r="H2106" s="693"/>
      <c r="I2106" s="693"/>
      <c r="J2106" s="693"/>
      <c r="K2106" s="693"/>
      <c r="L2106" s="693"/>
      <c r="M2106" s="693"/>
      <c r="N2106" s="693"/>
      <c r="O2106" s="693"/>
      <c r="P2106" s="693"/>
      <c r="Q2106" s="693"/>
    </row>
    <row r="2107" spans="1:17" ht="13.5">
      <c r="A2107" s="693"/>
      <c r="B2107" s="693"/>
      <c r="C2107" s="693"/>
      <c r="D2107" s="693"/>
      <c r="E2107" s="693"/>
      <c r="F2107" s="693"/>
      <c r="G2107" s="693"/>
      <c r="H2107" s="693"/>
      <c r="I2107" s="693"/>
      <c r="J2107" s="693"/>
      <c r="K2107" s="693"/>
      <c r="L2107" s="693"/>
      <c r="M2107" s="693"/>
      <c r="N2107" s="693"/>
      <c r="O2107" s="693"/>
      <c r="P2107" s="693"/>
      <c r="Q2107" s="693"/>
    </row>
    <row r="2108" spans="1:17" ht="13.5">
      <c r="A2108" s="693"/>
      <c r="B2108" s="693"/>
      <c r="C2108" s="693"/>
      <c r="D2108" s="693"/>
      <c r="E2108" s="693"/>
      <c r="F2108" s="693"/>
      <c r="G2108" s="693"/>
      <c r="H2108" s="693"/>
      <c r="I2108" s="693"/>
      <c r="J2108" s="693"/>
      <c r="K2108" s="693"/>
      <c r="L2108" s="693"/>
      <c r="M2108" s="693"/>
      <c r="N2108" s="693"/>
      <c r="O2108" s="693"/>
      <c r="P2108" s="693"/>
      <c r="Q2108" s="693"/>
    </row>
    <row r="2109" spans="1:17" ht="13.5">
      <c r="A2109" s="693"/>
      <c r="B2109" s="693"/>
      <c r="C2109" s="693"/>
      <c r="D2109" s="693"/>
      <c r="E2109" s="693"/>
      <c r="F2109" s="693"/>
      <c r="G2109" s="693"/>
      <c r="H2109" s="693"/>
      <c r="I2109" s="693"/>
      <c r="J2109" s="693"/>
      <c r="K2109" s="693"/>
      <c r="L2109" s="693"/>
      <c r="M2109" s="693"/>
      <c r="N2109" s="693"/>
      <c r="O2109" s="693"/>
      <c r="P2109" s="693"/>
      <c r="Q2109" s="693"/>
    </row>
    <row r="2110" spans="1:17" ht="13.5">
      <c r="A2110" s="693"/>
      <c r="B2110" s="693"/>
      <c r="C2110" s="693"/>
      <c r="D2110" s="693"/>
      <c r="E2110" s="693"/>
      <c r="F2110" s="693"/>
      <c r="G2110" s="693"/>
      <c r="H2110" s="693"/>
      <c r="I2110" s="693"/>
      <c r="J2110" s="693"/>
      <c r="K2110" s="693"/>
      <c r="L2110" s="693"/>
      <c r="M2110" s="693"/>
      <c r="N2110" s="693"/>
      <c r="O2110" s="693"/>
      <c r="P2110" s="693"/>
      <c r="Q2110" s="693"/>
    </row>
    <row r="2111" spans="1:17" ht="13.5">
      <c r="A2111" s="693"/>
      <c r="B2111" s="693"/>
      <c r="C2111" s="693"/>
      <c r="D2111" s="693"/>
      <c r="E2111" s="693"/>
      <c r="F2111" s="693"/>
      <c r="G2111" s="693"/>
      <c r="H2111" s="693"/>
      <c r="I2111" s="693"/>
      <c r="J2111" s="693"/>
      <c r="K2111" s="693"/>
      <c r="L2111" s="693"/>
      <c r="M2111" s="693"/>
      <c r="N2111" s="693"/>
      <c r="O2111" s="693"/>
      <c r="P2111" s="693"/>
      <c r="Q2111" s="693"/>
    </row>
    <row r="2112" spans="1:17" ht="13.5">
      <c r="A2112" s="693"/>
      <c r="B2112" s="693"/>
      <c r="C2112" s="693"/>
      <c r="D2112" s="693"/>
      <c r="E2112" s="693"/>
      <c r="F2112" s="693"/>
      <c r="G2112" s="693"/>
      <c r="H2112" s="693"/>
      <c r="I2112" s="693"/>
      <c r="J2112" s="693"/>
      <c r="K2112" s="693"/>
      <c r="L2112" s="693"/>
      <c r="M2112" s="693"/>
      <c r="N2112" s="693"/>
      <c r="O2112" s="693"/>
      <c r="P2112" s="693"/>
      <c r="Q2112" s="693"/>
    </row>
    <row r="2113" spans="1:17" ht="13.5">
      <c r="A2113" s="693"/>
      <c r="B2113" s="693"/>
      <c r="C2113" s="693"/>
      <c r="D2113" s="693"/>
      <c r="E2113" s="693"/>
      <c r="F2113" s="693"/>
      <c r="G2113" s="693"/>
      <c r="H2113" s="693"/>
      <c r="I2113" s="693"/>
      <c r="J2113" s="693"/>
      <c r="K2113" s="693"/>
      <c r="L2113" s="693"/>
      <c r="M2113" s="693"/>
      <c r="N2113" s="693"/>
      <c r="O2113" s="693"/>
      <c r="P2113" s="693"/>
      <c r="Q2113" s="693"/>
    </row>
    <row r="2114" spans="1:17" ht="13.5">
      <c r="A2114" s="693"/>
      <c r="B2114" s="693"/>
      <c r="C2114" s="693"/>
      <c r="D2114" s="693"/>
      <c r="E2114" s="693"/>
      <c r="F2114" s="693"/>
      <c r="G2114" s="693"/>
      <c r="H2114" s="693"/>
      <c r="I2114" s="693"/>
      <c r="J2114" s="693"/>
      <c r="K2114" s="693"/>
      <c r="L2114" s="693"/>
      <c r="M2114" s="693"/>
      <c r="N2114" s="693"/>
      <c r="O2114" s="693"/>
      <c r="P2114" s="693"/>
      <c r="Q2114" s="693"/>
    </row>
    <row r="2115" spans="1:17" ht="13.5">
      <c r="A2115" s="693"/>
      <c r="B2115" s="693"/>
      <c r="C2115" s="693"/>
      <c r="D2115" s="693"/>
      <c r="E2115" s="693"/>
      <c r="F2115" s="693"/>
      <c r="G2115" s="693"/>
      <c r="H2115" s="693"/>
      <c r="I2115" s="693"/>
      <c r="J2115" s="693"/>
      <c r="K2115" s="693"/>
      <c r="L2115" s="693"/>
      <c r="M2115" s="693"/>
      <c r="N2115" s="693"/>
      <c r="O2115" s="693"/>
      <c r="P2115" s="693"/>
      <c r="Q2115" s="693"/>
    </row>
    <row r="2116" spans="1:17" ht="13.5">
      <c r="A2116" s="693"/>
      <c r="B2116" s="693"/>
      <c r="C2116" s="693"/>
      <c r="D2116" s="693"/>
      <c r="E2116" s="693"/>
      <c r="F2116" s="693"/>
      <c r="G2116" s="693"/>
      <c r="H2116" s="693"/>
      <c r="I2116" s="693"/>
      <c r="J2116" s="693"/>
      <c r="K2116" s="693"/>
      <c r="L2116" s="693"/>
      <c r="M2116" s="693"/>
      <c r="N2116" s="693"/>
      <c r="O2116" s="693"/>
      <c r="P2116" s="693"/>
      <c r="Q2116" s="693"/>
    </row>
    <row r="2117" spans="1:17" ht="13.5">
      <c r="A2117" s="693"/>
      <c r="B2117" s="693"/>
      <c r="C2117" s="693"/>
      <c r="D2117" s="693"/>
      <c r="E2117" s="693"/>
      <c r="F2117" s="693"/>
      <c r="G2117" s="693"/>
      <c r="H2117" s="693"/>
      <c r="I2117" s="693"/>
      <c r="J2117" s="693"/>
      <c r="K2117" s="693"/>
      <c r="L2117" s="693"/>
      <c r="M2117" s="693"/>
      <c r="N2117" s="693"/>
      <c r="O2117" s="693"/>
      <c r="P2117" s="693"/>
      <c r="Q2117" s="693"/>
    </row>
    <row r="2118" spans="1:17" ht="13.5">
      <c r="A2118" s="693"/>
      <c r="B2118" s="693"/>
      <c r="C2118" s="693"/>
      <c r="D2118" s="693"/>
      <c r="E2118" s="693"/>
      <c r="F2118" s="693"/>
      <c r="G2118" s="693"/>
      <c r="H2118" s="693"/>
      <c r="I2118" s="693"/>
      <c r="J2118" s="693"/>
      <c r="K2118" s="693"/>
      <c r="L2118" s="693"/>
      <c r="M2118" s="693"/>
      <c r="N2118" s="693"/>
      <c r="O2118" s="693"/>
      <c r="P2118" s="693"/>
      <c r="Q2118" s="693"/>
    </row>
    <row r="2119" spans="1:17" ht="13.5">
      <c r="A2119" s="693"/>
      <c r="B2119" s="693"/>
      <c r="C2119" s="693"/>
      <c r="D2119" s="693"/>
      <c r="E2119" s="693"/>
      <c r="F2119" s="693"/>
      <c r="G2119" s="693"/>
      <c r="H2119" s="693"/>
      <c r="I2119" s="693"/>
      <c r="J2119" s="693"/>
      <c r="K2119" s="693"/>
      <c r="L2119" s="693"/>
      <c r="M2119" s="693"/>
      <c r="N2119" s="693"/>
      <c r="O2119" s="693"/>
      <c r="P2119" s="693"/>
      <c r="Q2119" s="693"/>
    </row>
    <row r="2120" spans="1:17" ht="13.5">
      <c r="A2120" s="693"/>
      <c r="B2120" s="693"/>
      <c r="C2120" s="693"/>
      <c r="D2120" s="693"/>
      <c r="E2120" s="693"/>
      <c r="F2120" s="693"/>
      <c r="G2120" s="693"/>
      <c r="H2120" s="693"/>
      <c r="I2120" s="693"/>
      <c r="J2120" s="693"/>
      <c r="K2120" s="693"/>
      <c r="L2120" s="693"/>
      <c r="M2120" s="693"/>
      <c r="N2120" s="693"/>
      <c r="O2120" s="693"/>
      <c r="P2120" s="693"/>
      <c r="Q2120" s="693"/>
    </row>
    <row r="2121" spans="1:17" ht="13.5">
      <c r="A2121" s="693"/>
      <c r="B2121" s="693"/>
      <c r="C2121" s="693"/>
      <c r="D2121" s="693"/>
      <c r="E2121" s="693"/>
      <c r="F2121" s="693"/>
      <c r="G2121" s="693"/>
      <c r="H2121" s="693"/>
      <c r="I2121" s="693"/>
      <c r="J2121" s="693"/>
      <c r="K2121" s="693"/>
      <c r="L2121" s="693"/>
      <c r="M2121" s="693"/>
      <c r="N2121" s="693"/>
      <c r="O2121" s="693"/>
      <c r="P2121" s="693"/>
      <c r="Q2121" s="693"/>
    </row>
    <row r="2122" spans="1:17" ht="13.5">
      <c r="A2122" s="693"/>
      <c r="B2122" s="693"/>
      <c r="C2122" s="693"/>
      <c r="D2122" s="693"/>
      <c r="E2122" s="693"/>
      <c r="F2122" s="693"/>
      <c r="G2122" s="693"/>
      <c r="H2122" s="693"/>
      <c r="I2122" s="693"/>
      <c r="J2122" s="693"/>
      <c r="K2122" s="693"/>
      <c r="L2122" s="693"/>
      <c r="M2122" s="693"/>
      <c r="N2122" s="693"/>
      <c r="O2122" s="693"/>
      <c r="P2122" s="693"/>
      <c r="Q2122" s="693"/>
    </row>
    <row r="2123" spans="1:17" ht="13.5">
      <c r="A2123" s="693"/>
      <c r="B2123" s="693"/>
      <c r="C2123" s="693"/>
      <c r="D2123" s="693"/>
      <c r="E2123" s="693"/>
      <c r="F2123" s="693"/>
      <c r="G2123" s="693"/>
      <c r="H2123" s="693"/>
      <c r="I2123" s="693"/>
      <c r="J2123" s="693"/>
      <c r="K2123" s="693"/>
      <c r="L2123" s="693"/>
      <c r="M2123" s="693"/>
      <c r="N2123" s="693"/>
      <c r="O2123" s="693"/>
      <c r="P2123" s="693"/>
      <c r="Q2123" s="693"/>
    </row>
    <row r="2124" spans="1:17" ht="13.5">
      <c r="A2124" s="693"/>
      <c r="B2124" s="693"/>
      <c r="C2124" s="693"/>
      <c r="D2124" s="693"/>
      <c r="E2124" s="693"/>
      <c r="F2124" s="693"/>
      <c r="G2124" s="693"/>
      <c r="H2124" s="693"/>
      <c r="I2124" s="693"/>
      <c r="J2124" s="693"/>
      <c r="K2124" s="693"/>
      <c r="L2124" s="693"/>
      <c r="M2124" s="693"/>
      <c r="N2124" s="693"/>
      <c r="O2124" s="693"/>
      <c r="P2124" s="693"/>
      <c r="Q2124" s="693"/>
    </row>
    <row r="2125" spans="1:17" ht="13.5">
      <c r="A2125" s="693"/>
      <c r="B2125" s="693"/>
      <c r="C2125" s="693"/>
      <c r="D2125" s="693"/>
      <c r="E2125" s="693"/>
      <c r="F2125" s="693"/>
      <c r="G2125" s="693"/>
      <c r="H2125" s="693"/>
      <c r="I2125" s="693"/>
      <c r="J2125" s="693"/>
      <c r="K2125" s="693"/>
      <c r="L2125" s="693"/>
      <c r="M2125" s="693"/>
      <c r="N2125" s="693"/>
      <c r="O2125" s="693"/>
      <c r="P2125" s="693"/>
      <c r="Q2125" s="693"/>
    </row>
    <row r="2126" spans="1:17" ht="13.5">
      <c r="A2126" s="693"/>
      <c r="B2126" s="693"/>
      <c r="C2126" s="693"/>
      <c r="D2126" s="693"/>
      <c r="E2126" s="693"/>
      <c r="F2126" s="693"/>
      <c r="G2126" s="693"/>
      <c r="H2126" s="693"/>
      <c r="I2126" s="693"/>
      <c r="J2126" s="693"/>
      <c r="K2126" s="693"/>
      <c r="L2126" s="693"/>
      <c r="M2126" s="693"/>
      <c r="N2126" s="693"/>
      <c r="O2126" s="693"/>
      <c r="P2126" s="693"/>
      <c r="Q2126" s="693"/>
    </row>
    <row r="2127" spans="1:17" ht="13.5">
      <c r="A2127" s="693"/>
      <c r="B2127" s="693"/>
      <c r="C2127" s="693"/>
      <c r="D2127" s="693"/>
      <c r="E2127" s="693"/>
      <c r="F2127" s="693"/>
      <c r="G2127" s="693"/>
      <c r="H2127" s="693"/>
      <c r="I2127" s="693"/>
      <c r="J2127" s="693"/>
      <c r="K2127" s="693"/>
      <c r="L2127" s="693"/>
      <c r="M2127" s="693"/>
      <c r="N2127" s="693"/>
      <c r="O2127" s="693"/>
      <c r="P2127" s="693"/>
      <c r="Q2127" s="693"/>
    </row>
    <row r="2128" spans="1:17" ht="13.5">
      <c r="A2128" s="693"/>
      <c r="B2128" s="693"/>
      <c r="C2128" s="693"/>
      <c r="D2128" s="693"/>
      <c r="E2128" s="693"/>
      <c r="F2128" s="693"/>
      <c r="G2128" s="693"/>
      <c r="H2128" s="693"/>
      <c r="I2128" s="693"/>
      <c r="J2128" s="693"/>
      <c r="K2128" s="693"/>
      <c r="L2128" s="693"/>
      <c r="M2128" s="693"/>
      <c r="N2128" s="693"/>
      <c r="O2128" s="693"/>
      <c r="P2128" s="693"/>
      <c r="Q2128" s="693"/>
    </row>
    <row r="2129" spans="1:17" ht="13.5">
      <c r="A2129" s="693"/>
      <c r="B2129" s="693"/>
      <c r="C2129" s="693"/>
      <c r="D2129" s="693"/>
      <c r="E2129" s="693"/>
      <c r="F2129" s="693"/>
      <c r="G2129" s="693"/>
      <c r="H2129" s="693"/>
      <c r="I2129" s="693"/>
      <c r="J2129" s="693"/>
      <c r="K2129" s="693"/>
      <c r="L2129" s="693"/>
      <c r="M2129" s="693"/>
      <c r="N2129" s="693"/>
      <c r="O2129" s="693"/>
      <c r="P2129" s="693"/>
      <c r="Q2129" s="693"/>
    </row>
    <row r="2130" spans="1:17" ht="13.5">
      <c r="A2130" s="693"/>
      <c r="B2130" s="693"/>
      <c r="C2130" s="693"/>
      <c r="D2130" s="693"/>
      <c r="E2130" s="693"/>
      <c r="F2130" s="693"/>
      <c r="G2130" s="693"/>
      <c r="H2130" s="693"/>
      <c r="I2130" s="693"/>
      <c r="J2130" s="693"/>
      <c r="K2130" s="693"/>
      <c r="L2130" s="693"/>
      <c r="M2130" s="693"/>
      <c r="N2130" s="693"/>
      <c r="O2130" s="693"/>
      <c r="P2130" s="693"/>
      <c r="Q2130" s="693"/>
    </row>
    <row r="2131" spans="1:17" ht="13.5">
      <c r="A2131" s="693"/>
      <c r="B2131" s="693"/>
      <c r="C2131" s="693"/>
      <c r="D2131" s="693"/>
      <c r="E2131" s="693"/>
      <c r="F2131" s="693"/>
      <c r="G2131" s="693"/>
      <c r="H2131" s="693"/>
      <c r="I2131" s="693"/>
      <c r="J2131" s="693"/>
      <c r="K2131" s="693"/>
      <c r="L2131" s="693"/>
      <c r="M2131" s="693"/>
      <c r="N2131" s="693"/>
      <c r="O2131" s="693"/>
      <c r="P2131" s="693"/>
      <c r="Q2131" s="693"/>
    </row>
    <row r="2132" spans="1:17" ht="13.5">
      <c r="A2132" s="693"/>
      <c r="B2132" s="693"/>
      <c r="C2132" s="693"/>
      <c r="D2132" s="693"/>
      <c r="E2132" s="693"/>
      <c r="F2132" s="693"/>
      <c r="G2132" s="693"/>
      <c r="H2132" s="693"/>
      <c r="I2132" s="693"/>
      <c r="J2132" s="693"/>
      <c r="K2132" s="693"/>
      <c r="L2132" s="693"/>
      <c r="M2132" s="693"/>
      <c r="N2132" s="693"/>
      <c r="O2132" s="693"/>
      <c r="P2132" s="693"/>
      <c r="Q2132" s="693"/>
    </row>
    <row r="2133" spans="1:17" ht="13.5">
      <c r="A2133" s="693"/>
      <c r="B2133" s="693"/>
      <c r="C2133" s="693"/>
      <c r="D2133" s="693"/>
      <c r="E2133" s="693"/>
      <c r="F2133" s="693"/>
      <c r="G2133" s="693"/>
      <c r="H2133" s="693"/>
      <c r="I2133" s="693"/>
      <c r="J2133" s="693"/>
      <c r="K2133" s="693"/>
      <c r="L2133" s="693"/>
      <c r="M2133" s="693"/>
      <c r="N2133" s="693"/>
      <c r="O2133" s="693"/>
      <c r="P2133" s="693"/>
      <c r="Q2133" s="693"/>
    </row>
    <row r="2134" spans="1:17" ht="13.5">
      <c r="A2134" s="693"/>
      <c r="B2134" s="693"/>
      <c r="C2134" s="693"/>
      <c r="D2134" s="693"/>
      <c r="E2134" s="693"/>
      <c r="F2134" s="693"/>
      <c r="G2134" s="693"/>
      <c r="H2134" s="693"/>
      <c r="I2134" s="693"/>
      <c r="J2134" s="693"/>
      <c r="K2134" s="693"/>
      <c r="L2134" s="693"/>
      <c r="M2134" s="693"/>
      <c r="N2134" s="693"/>
      <c r="O2134" s="693"/>
      <c r="P2134" s="693"/>
      <c r="Q2134" s="693"/>
    </row>
    <row r="2135" spans="1:17" ht="13.5">
      <c r="A2135" s="693"/>
      <c r="B2135" s="693"/>
      <c r="C2135" s="693"/>
      <c r="D2135" s="693"/>
      <c r="E2135" s="693"/>
      <c r="F2135" s="693"/>
      <c r="G2135" s="693"/>
      <c r="H2135" s="693"/>
      <c r="I2135" s="693"/>
      <c r="J2135" s="693"/>
      <c r="K2135" s="693"/>
      <c r="L2135" s="693"/>
      <c r="M2135" s="693"/>
      <c r="N2135" s="693"/>
      <c r="O2135" s="693"/>
      <c r="P2135" s="693"/>
      <c r="Q2135" s="693"/>
    </row>
    <row r="2136" spans="1:17" ht="13.5">
      <c r="A2136" s="693"/>
      <c r="B2136" s="693"/>
      <c r="C2136" s="693"/>
      <c r="D2136" s="693"/>
      <c r="E2136" s="693"/>
      <c r="F2136" s="693"/>
      <c r="G2136" s="693"/>
      <c r="H2136" s="693"/>
      <c r="I2136" s="693"/>
      <c r="J2136" s="693"/>
      <c r="K2136" s="693"/>
      <c r="L2136" s="693"/>
      <c r="M2136" s="693"/>
      <c r="N2136" s="693"/>
      <c r="O2136" s="693"/>
      <c r="P2136" s="693"/>
      <c r="Q2136" s="693"/>
    </row>
    <row r="2137" spans="1:17" ht="13.5">
      <c r="A2137" s="693"/>
      <c r="B2137" s="693"/>
      <c r="C2137" s="693"/>
      <c r="D2137" s="693"/>
      <c r="E2137" s="693"/>
      <c r="F2137" s="693"/>
      <c r="G2137" s="693"/>
      <c r="H2137" s="693"/>
      <c r="I2137" s="693"/>
      <c r="J2137" s="693"/>
      <c r="K2137" s="693"/>
      <c r="L2137" s="693"/>
      <c r="M2137" s="693"/>
      <c r="N2137" s="693"/>
      <c r="O2137" s="693"/>
      <c r="P2137" s="693"/>
      <c r="Q2137" s="693"/>
    </row>
    <row r="2138" spans="1:17" ht="13.5">
      <c r="A2138" s="693"/>
      <c r="B2138" s="693"/>
      <c r="C2138" s="693"/>
      <c r="D2138" s="693"/>
      <c r="E2138" s="693"/>
      <c r="F2138" s="693"/>
      <c r="G2138" s="693"/>
      <c r="H2138" s="693"/>
      <c r="I2138" s="693"/>
      <c r="J2138" s="693"/>
      <c r="K2138" s="693"/>
      <c r="L2138" s="693"/>
      <c r="M2138" s="693"/>
      <c r="N2138" s="693"/>
      <c r="O2138" s="693"/>
      <c r="P2138" s="693"/>
      <c r="Q2138" s="693"/>
    </row>
    <row r="2139" spans="1:17" ht="13.5">
      <c r="A2139" s="693"/>
      <c r="B2139" s="693"/>
      <c r="C2139" s="693"/>
      <c r="D2139" s="693"/>
      <c r="E2139" s="693"/>
      <c r="F2139" s="693"/>
      <c r="G2139" s="693"/>
      <c r="H2139" s="693"/>
      <c r="I2139" s="693"/>
      <c r="J2139" s="693"/>
      <c r="K2139" s="693"/>
      <c r="L2139" s="693"/>
      <c r="M2139" s="693"/>
      <c r="N2139" s="693"/>
      <c r="O2139" s="693"/>
      <c r="P2139" s="693"/>
      <c r="Q2139" s="693"/>
    </row>
    <row r="2140" spans="1:17" ht="13.5">
      <c r="A2140" s="693"/>
      <c r="B2140" s="693"/>
      <c r="C2140" s="693"/>
      <c r="D2140" s="693"/>
      <c r="E2140" s="693"/>
      <c r="F2140" s="693"/>
      <c r="G2140" s="693"/>
      <c r="H2140" s="693"/>
      <c r="I2140" s="693"/>
      <c r="J2140" s="693"/>
      <c r="K2140" s="693"/>
      <c r="L2140" s="693"/>
      <c r="M2140" s="693"/>
      <c r="N2140" s="693"/>
      <c r="O2140" s="693"/>
      <c r="P2140" s="693"/>
      <c r="Q2140" s="693"/>
    </row>
    <row r="2141" spans="1:17" ht="13.5">
      <c r="A2141" s="693"/>
      <c r="B2141" s="693"/>
      <c r="C2141" s="693"/>
      <c r="D2141" s="693"/>
      <c r="E2141" s="693"/>
      <c r="F2141" s="693"/>
      <c r="G2141" s="693"/>
      <c r="H2141" s="693"/>
      <c r="I2141" s="693"/>
      <c r="J2141" s="693"/>
      <c r="K2141" s="693"/>
      <c r="L2141" s="693"/>
      <c r="M2141" s="693"/>
      <c r="N2141" s="693"/>
      <c r="O2141" s="693"/>
      <c r="P2141" s="693"/>
      <c r="Q2141" s="693"/>
    </row>
    <row r="2142" spans="1:17" ht="13.5">
      <c r="A2142" s="693"/>
      <c r="B2142" s="693"/>
      <c r="C2142" s="693"/>
      <c r="D2142" s="693"/>
      <c r="E2142" s="693"/>
      <c r="F2142" s="693"/>
      <c r="G2142" s="693"/>
      <c r="H2142" s="693"/>
      <c r="I2142" s="693"/>
      <c r="J2142" s="693"/>
      <c r="K2142" s="693"/>
      <c r="L2142" s="693"/>
      <c r="M2142" s="693"/>
      <c r="N2142" s="693"/>
      <c r="O2142" s="693"/>
      <c r="P2142" s="693"/>
      <c r="Q2142" s="693"/>
    </row>
    <row r="2143" spans="1:17" ht="13.5">
      <c r="A2143" s="693"/>
      <c r="B2143" s="693"/>
      <c r="C2143" s="693"/>
      <c r="D2143" s="693"/>
      <c r="E2143" s="693"/>
      <c r="F2143" s="693"/>
      <c r="G2143" s="693"/>
      <c r="H2143" s="693"/>
      <c r="I2143" s="693"/>
      <c r="J2143" s="693"/>
      <c r="K2143" s="693"/>
      <c r="L2143" s="693"/>
      <c r="M2143" s="693"/>
      <c r="N2143" s="693"/>
      <c r="O2143" s="693"/>
      <c r="P2143" s="693"/>
      <c r="Q2143" s="693"/>
    </row>
    <row r="2144" spans="1:17" ht="13.5">
      <c r="A2144" s="693"/>
      <c r="B2144" s="693"/>
      <c r="C2144" s="693"/>
      <c r="D2144" s="693"/>
      <c r="E2144" s="693"/>
      <c r="F2144" s="693"/>
      <c r="G2144" s="693"/>
      <c r="H2144" s="693"/>
      <c r="I2144" s="693"/>
      <c r="J2144" s="693"/>
      <c r="K2144" s="693"/>
      <c r="L2144" s="693"/>
      <c r="M2144" s="693"/>
      <c r="N2144" s="693"/>
      <c r="O2144" s="693"/>
      <c r="P2144" s="693"/>
      <c r="Q2144" s="693"/>
    </row>
    <row r="2145" spans="1:17" ht="13.5">
      <c r="A2145" s="693"/>
      <c r="B2145" s="693"/>
      <c r="C2145" s="693"/>
      <c r="D2145" s="693"/>
      <c r="E2145" s="693"/>
      <c r="F2145" s="693"/>
      <c r="G2145" s="693"/>
      <c r="H2145" s="693"/>
      <c r="I2145" s="693"/>
      <c r="J2145" s="693"/>
      <c r="K2145" s="693"/>
      <c r="L2145" s="693"/>
      <c r="M2145" s="693"/>
      <c r="N2145" s="693"/>
      <c r="O2145" s="693"/>
      <c r="P2145" s="693"/>
      <c r="Q2145" s="693"/>
    </row>
    <row r="2146" spans="1:17" ht="13.5">
      <c r="A2146" s="693"/>
      <c r="B2146" s="693"/>
      <c r="C2146" s="693"/>
      <c r="D2146" s="693"/>
      <c r="E2146" s="693"/>
      <c r="F2146" s="693"/>
      <c r="G2146" s="693"/>
      <c r="H2146" s="693"/>
      <c r="I2146" s="693"/>
      <c r="J2146" s="693"/>
      <c r="K2146" s="693"/>
      <c r="L2146" s="693"/>
      <c r="M2146" s="693"/>
      <c r="N2146" s="693"/>
      <c r="O2146" s="693"/>
      <c r="P2146" s="693"/>
      <c r="Q2146" s="693"/>
    </row>
    <row r="2147" spans="1:17" ht="13.5">
      <c r="A2147" s="693"/>
      <c r="B2147" s="693"/>
      <c r="C2147" s="693"/>
      <c r="D2147" s="693"/>
      <c r="E2147" s="693"/>
      <c r="F2147" s="693"/>
      <c r="G2147" s="693"/>
      <c r="H2147" s="693"/>
      <c r="I2147" s="693"/>
      <c r="J2147" s="693"/>
      <c r="K2147" s="693"/>
      <c r="L2147" s="693"/>
      <c r="M2147" s="693"/>
      <c r="N2147" s="693"/>
      <c r="O2147" s="693"/>
      <c r="P2147" s="693"/>
      <c r="Q2147" s="693"/>
    </row>
    <row r="2148" spans="1:17" ht="13.5">
      <c r="A2148" s="693"/>
      <c r="B2148" s="693"/>
      <c r="C2148" s="693"/>
      <c r="D2148" s="693"/>
      <c r="E2148" s="693"/>
      <c r="F2148" s="693"/>
      <c r="G2148" s="693"/>
      <c r="H2148" s="693"/>
      <c r="I2148" s="693"/>
      <c r="J2148" s="693"/>
      <c r="K2148" s="693"/>
      <c r="L2148" s="693"/>
      <c r="M2148" s="693"/>
      <c r="N2148" s="693"/>
      <c r="O2148" s="693"/>
      <c r="P2148" s="693"/>
      <c r="Q2148" s="693"/>
    </row>
    <row r="2149" spans="1:17" ht="13.5">
      <c r="A2149" s="693"/>
      <c r="B2149" s="693"/>
      <c r="C2149" s="693"/>
      <c r="D2149" s="693"/>
      <c r="E2149" s="693"/>
      <c r="F2149" s="693"/>
      <c r="G2149" s="693"/>
      <c r="H2149" s="693"/>
      <c r="I2149" s="693"/>
      <c r="J2149" s="693"/>
      <c r="K2149" s="693"/>
      <c r="L2149" s="693"/>
      <c r="M2149" s="693"/>
      <c r="N2149" s="693"/>
      <c r="O2149" s="693"/>
      <c r="P2149" s="693"/>
      <c r="Q2149" s="693"/>
    </row>
    <row r="2150" spans="1:17" ht="13.5">
      <c r="A2150" s="693"/>
      <c r="B2150" s="693"/>
      <c r="C2150" s="693"/>
      <c r="D2150" s="693"/>
      <c r="E2150" s="693"/>
      <c r="F2150" s="693"/>
      <c r="G2150" s="693"/>
      <c r="H2150" s="693"/>
      <c r="I2150" s="693"/>
      <c r="J2150" s="693"/>
      <c r="K2150" s="693"/>
      <c r="L2150" s="693"/>
      <c r="M2150" s="693"/>
      <c r="N2150" s="693"/>
      <c r="O2150" s="693"/>
      <c r="P2150" s="693"/>
      <c r="Q2150" s="693"/>
    </row>
    <row r="2151" spans="1:17" ht="13.5">
      <c r="A2151" s="693"/>
      <c r="B2151" s="693"/>
      <c r="C2151" s="693"/>
      <c r="D2151" s="693"/>
      <c r="E2151" s="693"/>
      <c r="F2151" s="693"/>
      <c r="G2151" s="693"/>
      <c r="H2151" s="693"/>
      <c r="I2151" s="693"/>
      <c r="J2151" s="693"/>
      <c r="K2151" s="693"/>
      <c r="L2151" s="693"/>
      <c r="M2151" s="693"/>
      <c r="N2151" s="693"/>
      <c r="O2151" s="693"/>
      <c r="P2151" s="693"/>
      <c r="Q2151" s="693"/>
    </row>
    <row r="2152" spans="1:17" ht="13.5">
      <c r="A2152" s="693"/>
      <c r="B2152" s="693"/>
      <c r="C2152" s="693"/>
      <c r="D2152" s="693"/>
      <c r="E2152" s="693"/>
      <c r="F2152" s="693"/>
      <c r="G2152" s="693"/>
      <c r="H2152" s="693"/>
      <c r="I2152" s="693"/>
      <c r="J2152" s="693"/>
      <c r="K2152" s="693"/>
      <c r="L2152" s="693"/>
      <c r="M2152" s="693"/>
      <c r="N2152" s="693"/>
      <c r="O2152" s="693"/>
      <c r="P2152" s="693"/>
      <c r="Q2152" s="693"/>
    </row>
    <row r="2153" spans="1:17" ht="13.5">
      <c r="A2153" s="693"/>
      <c r="B2153" s="693"/>
      <c r="C2153" s="693"/>
      <c r="D2153" s="693"/>
      <c r="E2153" s="693"/>
      <c r="F2153" s="693"/>
      <c r="G2153" s="693"/>
      <c r="H2153" s="693"/>
      <c r="I2153" s="693"/>
      <c r="J2153" s="693"/>
      <c r="K2153" s="693"/>
      <c r="L2153" s="693"/>
      <c r="M2153" s="693"/>
      <c r="N2153" s="693"/>
      <c r="O2153" s="693"/>
      <c r="P2153" s="693"/>
      <c r="Q2153" s="693"/>
    </row>
    <row r="2154" spans="1:17" ht="13.5">
      <c r="A2154" s="693"/>
      <c r="B2154" s="693"/>
      <c r="C2154" s="693"/>
      <c r="D2154" s="693"/>
      <c r="E2154" s="693"/>
      <c r="F2154" s="693"/>
      <c r="G2154" s="693"/>
      <c r="H2154" s="693"/>
      <c r="I2154" s="693"/>
      <c r="J2154" s="693"/>
      <c r="K2154" s="693"/>
      <c r="L2154" s="693"/>
      <c r="M2154" s="693"/>
      <c r="N2154" s="693"/>
      <c r="O2154" s="693"/>
      <c r="P2154" s="693"/>
      <c r="Q2154" s="693"/>
    </row>
    <row r="2155" spans="1:17" ht="13.5">
      <c r="A2155" s="693"/>
      <c r="B2155" s="693"/>
      <c r="C2155" s="693"/>
      <c r="D2155" s="693"/>
      <c r="E2155" s="693"/>
      <c r="F2155" s="693"/>
      <c r="G2155" s="693"/>
      <c r="H2155" s="693"/>
      <c r="I2155" s="693"/>
      <c r="J2155" s="693"/>
      <c r="K2155" s="693"/>
      <c r="L2155" s="693"/>
      <c r="M2155" s="693"/>
      <c r="N2155" s="693"/>
      <c r="O2155" s="693"/>
      <c r="P2155" s="693"/>
      <c r="Q2155" s="693"/>
    </row>
    <row r="2156" spans="1:17" ht="13.5">
      <c r="A2156" s="693"/>
      <c r="B2156" s="693"/>
      <c r="C2156" s="693"/>
      <c r="D2156" s="693"/>
      <c r="E2156" s="693"/>
      <c r="F2156" s="693"/>
      <c r="G2156" s="693"/>
      <c r="H2156" s="693"/>
      <c r="I2156" s="693"/>
      <c r="J2156" s="693"/>
      <c r="K2156" s="693"/>
      <c r="L2156" s="693"/>
      <c r="M2156" s="693"/>
      <c r="N2156" s="693"/>
      <c r="O2156" s="693"/>
      <c r="P2156" s="693"/>
      <c r="Q2156" s="693"/>
    </row>
    <row r="2157" spans="1:17" ht="13.5">
      <c r="A2157" s="693"/>
      <c r="B2157" s="693"/>
      <c r="C2157" s="693"/>
      <c r="D2157" s="693"/>
      <c r="E2157" s="693"/>
      <c r="F2157" s="693"/>
      <c r="G2157" s="693"/>
      <c r="H2157" s="693"/>
      <c r="I2157" s="693"/>
      <c r="J2157" s="693"/>
      <c r="K2157" s="693"/>
      <c r="L2157" s="693"/>
      <c r="M2157" s="693"/>
      <c r="N2157" s="693"/>
      <c r="O2157" s="693"/>
      <c r="P2157" s="693"/>
      <c r="Q2157" s="693"/>
    </row>
    <row r="2158" spans="1:17" ht="13.5">
      <c r="A2158" s="693"/>
      <c r="B2158" s="693"/>
      <c r="C2158" s="693"/>
      <c r="D2158" s="693"/>
      <c r="E2158" s="693"/>
      <c r="F2158" s="693"/>
      <c r="G2158" s="693"/>
      <c r="H2158" s="693"/>
      <c r="I2158" s="693"/>
      <c r="J2158" s="693"/>
      <c r="K2158" s="693"/>
      <c r="L2158" s="693"/>
      <c r="M2158" s="693"/>
      <c r="N2158" s="693"/>
      <c r="O2158" s="693"/>
      <c r="P2158" s="693"/>
      <c r="Q2158" s="693"/>
    </row>
    <row r="2159" spans="1:17" ht="13.5">
      <c r="A2159" s="693"/>
      <c r="B2159" s="693"/>
      <c r="C2159" s="693"/>
      <c r="D2159" s="693"/>
      <c r="E2159" s="693"/>
      <c r="F2159" s="693"/>
      <c r="G2159" s="693"/>
      <c r="H2159" s="693"/>
      <c r="I2159" s="693"/>
      <c r="J2159" s="693"/>
      <c r="K2159" s="693"/>
      <c r="L2159" s="693"/>
      <c r="M2159" s="693"/>
      <c r="N2159" s="693"/>
      <c r="O2159" s="693"/>
      <c r="P2159" s="693"/>
      <c r="Q2159" s="693"/>
    </row>
    <row r="2160" spans="1:17" ht="13.5">
      <c r="A2160" s="693"/>
      <c r="B2160" s="693"/>
      <c r="C2160" s="693"/>
      <c r="D2160" s="693"/>
      <c r="E2160" s="693"/>
      <c r="F2160" s="693"/>
      <c r="G2160" s="693"/>
      <c r="H2160" s="693"/>
      <c r="I2160" s="693"/>
      <c r="J2160" s="693"/>
      <c r="K2160" s="693"/>
      <c r="L2160" s="693"/>
      <c r="M2160" s="693"/>
      <c r="N2160" s="693"/>
      <c r="O2160" s="693"/>
      <c r="P2160" s="693"/>
      <c r="Q2160" s="693"/>
    </row>
    <row r="2161" spans="1:17" ht="13.5">
      <c r="A2161" s="693"/>
      <c r="B2161" s="693"/>
      <c r="C2161" s="693"/>
      <c r="D2161" s="693"/>
      <c r="E2161" s="693"/>
      <c r="F2161" s="693"/>
      <c r="G2161" s="693"/>
      <c r="H2161" s="693"/>
      <c r="I2161" s="693"/>
      <c r="J2161" s="693"/>
      <c r="K2161" s="693"/>
      <c r="L2161" s="693"/>
      <c r="M2161" s="693"/>
      <c r="N2161" s="693"/>
      <c r="O2161" s="693"/>
      <c r="P2161" s="693"/>
      <c r="Q2161" s="693"/>
    </row>
    <row r="2162" spans="1:17" ht="13.5">
      <c r="A2162" s="693"/>
      <c r="B2162" s="693"/>
      <c r="C2162" s="693"/>
      <c r="D2162" s="693"/>
      <c r="E2162" s="693"/>
      <c r="F2162" s="693"/>
      <c r="G2162" s="693"/>
      <c r="H2162" s="693"/>
      <c r="I2162" s="693"/>
      <c r="J2162" s="693"/>
      <c r="K2162" s="693"/>
      <c r="L2162" s="693"/>
      <c r="M2162" s="693"/>
      <c r="N2162" s="693"/>
      <c r="O2162" s="693"/>
      <c r="P2162" s="693"/>
      <c r="Q2162" s="693"/>
    </row>
    <row r="2163" spans="1:17" ht="13.5">
      <c r="A2163" s="693"/>
      <c r="B2163" s="693"/>
      <c r="C2163" s="693"/>
      <c r="D2163" s="693"/>
      <c r="E2163" s="693"/>
      <c r="F2163" s="693"/>
      <c r="G2163" s="693"/>
      <c r="H2163" s="693"/>
      <c r="I2163" s="693"/>
      <c r="J2163" s="693"/>
      <c r="K2163" s="693"/>
      <c r="L2163" s="693"/>
      <c r="M2163" s="693"/>
      <c r="N2163" s="693"/>
      <c r="O2163" s="693"/>
      <c r="P2163" s="693"/>
      <c r="Q2163" s="693"/>
    </row>
    <row r="2164" spans="1:17" ht="13.5">
      <c r="A2164" s="693"/>
      <c r="B2164" s="693"/>
      <c r="C2164" s="693"/>
      <c r="D2164" s="693"/>
      <c r="E2164" s="693"/>
      <c r="F2164" s="693"/>
      <c r="G2164" s="693"/>
      <c r="H2164" s="693"/>
      <c r="I2164" s="693"/>
      <c r="J2164" s="693"/>
      <c r="K2164" s="693"/>
      <c r="L2164" s="693"/>
      <c r="M2164" s="693"/>
      <c r="N2164" s="693"/>
      <c r="O2164" s="693"/>
      <c r="P2164" s="693"/>
      <c r="Q2164" s="693"/>
    </row>
    <row r="2165" spans="1:17" ht="13.5">
      <c r="A2165" s="693"/>
      <c r="B2165" s="693"/>
      <c r="C2165" s="693"/>
      <c r="D2165" s="693"/>
      <c r="E2165" s="693"/>
      <c r="F2165" s="693"/>
      <c r="G2165" s="693"/>
      <c r="H2165" s="693"/>
      <c r="I2165" s="693"/>
      <c r="J2165" s="693"/>
      <c r="K2165" s="693"/>
      <c r="L2165" s="693"/>
      <c r="M2165" s="693"/>
      <c r="N2165" s="693"/>
      <c r="O2165" s="693"/>
      <c r="P2165" s="693"/>
      <c r="Q2165" s="693"/>
    </row>
    <row r="2166" spans="1:17" ht="13.5">
      <c r="A2166" s="693"/>
      <c r="B2166" s="693"/>
      <c r="C2166" s="693"/>
      <c r="D2166" s="693"/>
      <c r="E2166" s="693"/>
      <c r="F2166" s="693"/>
      <c r="G2166" s="693"/>
      <c r="H2166" s="693"/>
      <c r="I2166" s="693"/>
      <c r="J2166" s="693"/>
      <c r="K2166" s="693"/>
      <c r="L2166" s="693"/>
      <c r="M2166" s="693"/>
      <c r="N2166" s="693"/>
      <c r="O2166" s="693"/>
      <c r="P2166" s="693"/>
      <c r="Q2166" s="693"/>
    </row>
    <row r="2167" spans="1:17" ht="13.5">
      <c r="A2167" s="693"/>
      <c r="B2167" s="693"/>
      <c r="C2167" s="693"/>
      <c r="D2167" s="693"/>
      <c r="E2167" s="693"/>
      <c r="F2167" s="693"/>
      <c r="G2167" s="693"/>
      <c r="H2167" s="693"/>
      <c r="I2167" s="693"/>
      <c r="J2167" s="693"/>
      <c r="K2167" s="693"/>
      <c r="L2167" s="693"/>
      <c r="M2167" s="693"/>
      <c r="N2167" s="693"/>
      <c r="O2167" s="693"/>
      <c r="P2167" s="693"/>
      <c r="Q2167" s="693"/>
    </row>
    <row r="2168" spans="1:17" ht="13.5">
      <c r="A2168" s="693"/>
      <c r="B2168" s="693"/>
      <c r="C2168" s="693"/>
      <c r="D2168" s="693"/>
      <c r="E2168" s="693"/>
      <c r="F2168" s="693"/>
      <c r="G2168" s="693"/>
      <c r="H2168" s="693"/>
      <c r="I2168" s="693"/>
      <c r="J2168" s="693"/>
      <c r="K2168" s="693"/>
      <c r="L2168" s="693"/>
      <c r="M2168" s="693"/>
      <c r="N2168" s="693"/>
      <c r="O2168" s="693"/>
      <c r="P2168" s="693"/>
      <c r="Q2168" s="693"/>
    </row>
    <row r="2169" spans="1:17" ht="13.5">
      <c r="A2169" s="693"/>
      <c r="B2169" s="693"/>
      <c r="C2169" s="693"/>
      <c r="D2169" s="693"/>
      <c r="E2169" s="693"/>
      <c r="F2169" s="693"/>
      <c r="G2169" s="693"/>
      <c r="H2169" s="693"/>
      <c r="I2169" s="693"/>
      <c r="J2169" s="693"/>
      <c r="K2169" s="693"/>
      <c r="L2169" s="693"/>
      <c r="M2169" s="693"/>
      <c r="N2169" s="693"/>
      <c r="O2169" s="693"/>
      <c r="P2169" s="693"/>
      <c r="Q2169" s="693"/>
    </row>
    <row r="2170" spans="1:17" ht="13.5">
      <c r="A2170" s="693"/>
      <c r="B2170" s="693"/>
      <c r="C2170" s="693"/>
      <c r="D2170" s="693"/>
      <c r="E2170" s="693"/>
      <c r="F2170" s="693"/>
      <c r="G2170" s="693"/>
      <c r="H2170" s="693"/>
      <c r="I2170" s="693"/>
      <c r="J2170" s="693"/>
      <c r="K2170" s="693"/>
      <c r="L2170" s="693"/>
      <c r="M2170" s="693"/>
      <c r="N2170" s="693"/>
      <c r="O2170" s="693"/>
      <c r="P2170" s="693"/>
      <c r="Q2170" s="693"/>
    </row>
    <row r="2171" spans="1:17" ht="13.5">
      <c r="A2171" s="693"/>
      <c r="B2171" s="693"/>
      <c r="C2171" s="693"/>
      <c r="D2171" s="693"/>
      <c r="E2171" s="693"/>
      <c r="F2171" s="693"/>
      <c r="G2171" s="693"/>
      <c r="H2171" s="693"/>
      <c r="I2171" s="693"/>
      <c r="J2171" s="693"/>
      <c r="K2171" s="693"/>
      <c r="L2171" s="693"/>
      <c r="M2171" s="693"/>
      <c r="N2171" s="693"/>
      <c r="O2171" s="693"/>
      <c r="P2171" s="693"/>
      <c r="Q2171" s="693"/>
    </row>
    <row r="2172" spans="1:17" ht="13.5">
      <c r="A2172" s="693"/>
      <c r="B2172" s="693"/>
      <c r="C2172" s="693"/>
      <c r="D2172" s="693"/>
      <c r="E2172" s="693"/>
      <c r="F2172" s="693"/>
      <c r="G2172" s="693"/>
      <c r="H2172" s="693"/>
      <c r="I2172" s="693"/>
      <c r="J2172" s="693"/>
      <c r="K2172" s="693"/>
      <c r="L2172" s="693"/>
      <c r="M2172" s="693"/>
      <c r="N2172" s="693"/>
      <c r="O2172" s="693"/>
      <c r="P2172" s="693"/>
      <c r="Q2172" s="693"/>
    </row>
    <row r="2173" spans="1:17" ht="13.5">
      <c r="A2173" s="693"/>
      <c r="B2173" s="693"/>
      <c r="C2173" s="693"/>
      <c r="D2173" s="693"/>
      <c r="E2173" s="693"/>
      <c r="F2173" s="693"/>
      <c r="G2173" s="693"/>
      <c r="H2173" s="693"/>
      <c r="I2173" s="693"/>
      <c r="J2173" s="693"/>
      <c r="K2173" s="693"/>
      <c r="L2173" s="693"/>
      <c r="M2173" s="693"/>
      <c r="N2173" s="693"/>
      <c r="O2173" s="693"/>
      <c r="P2173" s="693"/>
      <c r="Q2173" s="693"/>
    </row>
    <row r="2174" spans="1:17" ht="13.5">
      <c r="A2174" s="693"/>
      <c r="B2174" s="693"/>
      <c r="C2174" s="693"/>
      <c r="D2174" s="693"/>
      <c r="E2174" s="693"/>
      <c r="F2174" s="693"/>
      <c r="G2174" s="693"/>
      <c r="H2174" s="693"/>
      <c r="I2174" s="693"/>
      <c r="J2174" s="693"/>
      <c r="K2174" s="693"/>
      <c r="L2174" s="693"/>
      <c r="M2174" s="693"/>
      <c r="N2174" s="693"/>
      <c r="O2174" s="693"/>
      <c r="P2174" s="693"/>
      <c r="Q2174" s="693"/>
    </row>
    <row r="2175" spans="1:17" ht="13.5">
      <c r="A2175" s="693"/>
      <c r="B2175" s="693"/>
      <c r="C2175" s="693"/>
      <c r="D2175" s="693"/>
      <c r="E2175" s="693"/>
      <c r="F2175" s="693"/>
      <c r="G2175" s="693"/>
      <c r="H2175" s="693"/>
      <c r="I2175" s="693"/>
      <c r="J2175" s="693"/>
      <c r="K2175" s="693"/>
      <c r="L2175" s="693"/>
      <c r="M2175" s="693"/>
      <c r="N2175" s="693"/>
      <c r="O2175" s="693"/>
      <c r="P2175" s="693"/>
      <c r="Q2175" s="693"/>
    </row>
    <row r="2176" spans="1:17" ht="13.5">
      <c r="A2176" s="693"/>
      <c r="B2176" s="693"/>
      <c r="C2176" s="693"/>
      <c r="D2176" s="693"/>
      <c r="E2176" s="693"/>
      <c r="F2176" s="693"/>
      <c r="G2176" s="693"/>
      <c r="H2176" s="693"/>
      <c r="I2176" s="693"/>
      <c r="J2176" s="693"/>
      <c r="K2176" s="693"/>
      <c r="L2176" s="693"/>
      <c r="M2176" s="693"/>
      <c r="N2176" s="693"/>
      <c r="O2176" s="693"/>
      <c r="P2176" s="693"/>
      <c r="Q2176" s="693"/>
    </row>
    <row r="2177" spans="1:17" ht="13.5">
      <c r="A2177" s="693"/>
      <c r="B2177" s="693"/>
      <c r="C2177" s="693"/>
      <c r="D2177" s="693"/>
      <c r="E2177" s="693"/>
      <c r="F2177" s="693"/>
      <c r="G2177" s="693"/>
      <c r="H2177" s="693"/>
      <c r="I2177" s="693"/>
      <c r="J2177" s="693"/>
      <c r="K2177" s="693"/>
      <c r="L2177" s="693"/>
      <c r="M2177" s="693"/>
      <c r="N2177" s="693"/>
      <c r="O2177" s="693"/>
      <c r="P2177" s="693"/>
      <c r="Q2177" s="693"/>
    </row>
    <row r="2178" spans="1:17" ht="13.5">
      <c r="A2178" s="693"/>
      <c r="B2178" s="693"/>
      <c r="C2178" s="693"/>
      <c r="D2178" s="693"/>
      <c r="E2178" s="693"/>
      <c r="F2178" s="693"/>
      <c r="G2178" s="693"/>
      <c r="H2178" s="693"/>
      <c r="I2178" s="693"/>
      <c r="J2178" s="693"/>
      <c r="K2178" s="693"/>
      <c r="L2178" s="693"/>
      <c r="M2178" s="693"/>
      <c r="N2178" s="693"/>
      <c r="O2178" s="693"/>
      <c r="P2178" s="693"/>
      <c r="Q2178" s="693"/>
    </row>
    <row r="2179" spans="1:17" ht="13.5">
      <c r="A2179" s="693"/>
      <c r="B2179" s="693"/>
      <c r="C2179" s="693"/>
      <c r="D2179" s="693"/>
      <c r="E2179" s="693"/>
      <c r="F2179" s="693"/>
      <c r="G2179" s="693"/>
      <c r="H2179" s="693"/>
      <c r="I2179" s="693"/>
      <c r="J2179" s="693"/>
      <c r="K2179" s="693"/>
      <c r="L2179" s="693"/>
      <c r="M2179" s="693"/>
      <c r="N2179" s="693"/>
      <c r="O2179" s="693"/>
      <c r="P2179" s="693"/>
      <c r="Q2179" s="693"/>
    </row>
    <row r="2180" spans="1:17" ht="13.5">
      <c r="A2180" s="693"/>
      <c r="B2180" s="693"/>
      <c r="C2180" s="693"/>
      <c r="D2180" s="693"/>
      <c r="E2180" s="693"/>
      <c r="F2180" s="693"/>
      <c r="G2180" s="693"/>
      <c r="H2180" s="693"/>
      <c r="I2180" s="693"/>
      <c r="J2180" s="693"/>
      <c r="K2180" s="693"/>
      <c r="L2180" s="693"/>
      <c r="M2180" s="693"/>
      <c r="N2180" s="693"/>
      <c r="O2180" s="693"/>
      <c r="P2180" s="693"/>
      <c r="Q2180" s="693"/>
    </row>
    <row r="2181" spans="1:17" ht="13.5">
      <c r="A2181" s="693"/>
      <c r="B2181" s="693"/>
      <c r="C2181" s="693"/>
      <c r="D2181" s="693"/>
      <c r="E2181" s="693"/>
      <c r="F2181" s="693"/>
      <c r="G2181" s="693"/>
      <c r="H2181" s="693"/>
      <c r="I2181" s="693"/>
      <c r="J2181" s="693"/>
      <c r="K2181" s="693"/>
      <c r="L2181" s="693"/>
      <c r="M2181" s="693"/>
      <c r="N2181" s="693"/>
      <c r="O2181" s="693"/>
      <c r="P2181" s="693"/>
      <c r="Q2181" s="693"/>
    </row>
    <row r="2182" spans="1:17" ht="13.5">
      <c r="A2182" s="693"/>
      <c r="B2182" s="693"/>
      <c r="C2182" s="693"/>
      <c r="D2182" s="693"/>
      <c r="E2182" s="693"/>
      <c r="F2182" s="693"/>
      <c r="G2182" s="693"/>
      <c r="H2182" s="693"/>
      <c r="I2182" s="693"/>
      <c r="J2182" s="693"/>
      <c r="K2182" s="693"/>
      <c r="L2182" s="693"/>
      <c r="M2182" s="693"/>
      <c r="N2182" s="693"/>
      <c r="O2182" s="693"/>
      <c r="P2182" s="693"/>
      <c r="Q2182" s="693"/>
    </row>
    <row r="2183" spans="1:17" ht="13.5">
      <c r="A2183" s="693"/>
      <c r="B2183" s="693"/>
      <c r="C2183" s="693"/>
      <c r="D2183" s="693"/>
      <c r="E2183" s="693"/>
      <c r="F2183" s="693"/>
      <c r="G2183" s="693"/>
      <c r="H2183" s="693"/>
      <c r="I2183" s="693"/>
      <c r="J2183" s="693"/>
      <c r="K2183" s="693"/>
      <c r="L2183" s="693"/>
      <c r="M2183" s="693"/>
      <c r="N2183" s="693"/>
      <c r="O2183" s="693"/>
      <c r="P2183" s="693"/>
      <c r="Q2183" s="693"/>
    </row>
    <row r="2184" spans="1:17" ht="13.5">
      <c r="A2184" s="693"/>
      <c r="B2184" s="693"/>
      <c r="C2184" s="693"/>
      <c r="D2184" s="693"/>
      <c r="E2184" s="693"/>
      <c r="F2184" s="693"/>
      <c r="G2184" s="693"/>
      <c r="H2184" s="693"/>
      <c r="I2184" s="693"/>
      <c r="J2184" s="693"/>
      <c r="K2184" s="693"/>
      <c r="L2184" s="693"/>
      <c r="M2184" s="693"/>
      <c r="N2184" s="693"/>
      <c r="O2184" s="693"/>
      <c r="P2184" s="693"/>
      <c r="Q2184" s="693"/>
    </row>
    <row r="2185" spans="1:17" ht="13.5">
      <c r="A2185" s="693"/>
      <c r="B2185" s="693"/>
      <c r="C2185" s="693"/>
      <c r="D2185" s="693"/>
      <c r="E2185" s="693"/>
      <c r="F2185" s="693"/>
      <c r="G2185" s="693"/>
      <c r="H2185" s="693"/>
      <c r="I2185" s="693"/>
      <c r="J2185" s="693"/>
      <c r="K2185" s="693"/>
      <c r="L2185" s="693"/>
      <c r="M2185" s="693"/>
      <c r="N2185" s="693"/>
      <c r="O2185" s="693"/>
      <c r="P2185" s="693"/>
      <c r="Q2185" s="693"/>
    </row>
    <row r="2186" spans="1:17" ht="13.5">
      <c r="A2186" s="693"/>
      <c r="B2186" s="693"/>
      <c r="C2186" s="693"/>
      <c r="D2186" s="693"/>
      <c r="E2186" s="693"/>
      <c r="F2186" s="693"/>
      <c r="G2186" s="693"/>
      <c r="H2186" s="693"/>
      <c r="I2186" s="693"/>
      <c r="J2186" s="693"/>
      <c r="K2186" s="693"/>
      <c r="L2186" s="693"/>
      <c r="M2186" s="693"/>
      <c r="N2186" s="693"/>
      <c r="O2186" s="693"/>
      <c r="P2186" s="693"/>
      <c r="Q2186" s="693"/>
    </row>
    <row r="2187" spans="1:17" ht="13.5">
      <c r="A2187" s="693"/>
      <c r="B2187" s="693"/>
      <c r="C2187" s="693"/>
      <c r="D2187" s="693"/>
      <c r="E2187" s="693"/>
      <c r="F2187" s="693"/>
      <c r="G2187" s="693"/>
      <c r="H2187" s="693"/>
      <c r="I2187" s="693"/>
      <c r="J2187" s="693"/>
      <c r="K2187" s="693"/>
      <c r="L2187" s="693"/>
      <c r="M2187" s="693"/>
      <c r="N2187" s="693"/>
      <c r="O2187" s="693"/>
      <c r="P2187" s="693"/>
      <c r="Q2187" s="693"/>
    </row>
    <row r="2188" spans="1:17" ht="13.5">
      <c r="A2188" s="693"/>
      <c r="B2188" s="693"/>
      <c r="C2188" s="693"/>
      <c r="D2188" s="693"/>
      <c r="E2188" s="693"/>
      <c r="F2188" s="693"/>
      <c r="G2188" s="693"/>
      <c r="H2188" s="693"/>
      <c r="I2188" s="693"/>
      <c r="J2188" s="693"/>
      <c r="K2188" s="693"/>
      <c r="L2188" s="693"/>
      <c r="M2188" s="693"/>
      <c r="N2188" s="693"/>
      <c r="O2188" s="693"/>
      <c r="P2188" s="693"/>
      <c r="Q2188" s="693"/>
    </row>
    <row r="2189" spans="1:17" ht="13.5">
      <c r="A2189" s="693"/>
      <c r="B2189" s="693"/>
      <c r="C2189" s="693"/>
      <c r="D2189" s="693"/>
      <c r="E2189" s="693"/>
      <c r="F2189" s="693"/>
      <c r="G2189" s="693"/>
      <c r="H2189" s="693"/>
      <c r="I2189" s="693"/>
      <c r="J2189" s="693"/>
      <c r="K2189" s="693"/>
      <c r="L2189" s="693"/>
      <c r="M2189" s="693"/>
      <c r="N2189" s="693"/>
      <c r="O2189" s="693"/>
      <c r="P2189" s="693"/>
      <c r="Q2189" s="693"/>
    </row>
    <row r="2190" spans="1:17" ht="13.5">
      <c r="A2190" s="693"/>
      <c r="B2190" s="693"/>
      <c r="C2190" s="693"/>
      <c r="D2190" s="693"/>
      <c r="E2190" s="693"/>
      <c r="F2190" s="693"/>
      <c r="G2190" s="693"/>
      <c r="H2190" s="693"/>
      <c r="I2190" s="693"/>
      <c r="J2190" s="693"/>
      <c r="K2190" s="693"/>
      <c r="L2190" s="693"/>
      <c r="M2190" s="693"/>
      <c r="N2190" s="693"/>
      <c r="O2190" s="693"/>
      <c r="P2190" s="693"/>
      <c r="Q2190" s="693"/>
    </row>
    <row r="2191" spans="1:17" ht="13.5">
      <c r="A2191" s="693"/>
      <c r="B2191" s="693"/>
      <c r="C2191" s="693"/>
      <c r="D2191" s="693"/>
      <c r="E2191" s="693"/>
      <c r="F2191" s="693"/>
      <c r="G2191" s="693"/>
      <c r="H2191" s="693"/>
      <c r="I2191" s="693"/>
      <c r="J2191" s="693"/>
      <c r="K2191" s="693"/>
      <c r="L2191" s="693"/>
      <c r="M2191" s="693"/>
      <c r="N2191" s="693"/>
      <c r="O2191" s="693"/>
      <c r="P2191" s="693"/>
      <c r="Q2191" s="693"/>
    </row>
    <row r="2192" spans="1:17" ht="13.5">
      <c r="A2192" s="693"/>
      <c r="B2192" s="693"/>
      <c r="C2192" s="693"/>
      <c r="D2192" s="693"/>
      <c r="E2192" s="693"/>
      <c r="F2192" s="693"/>
      <c r="G2192" s="693"/>
      <c r="H2192" s="693"/>
      <c r="I2192" s="693"/>
      <c r="J2192" s="693"/>
      <c r="K2192" s="693"/>
      <c r="L2192" s="693"/>
      <c r="M2192" s="693"/>
      <c r="N2192" s="693"/>
      <c r="O2192" s="693"/>
      <c r="P2192" s="693"/>
      <c r="Q2192" s="693"/>
    </row>
    <row r="2193" spans="1:17" ht="13.5">
      <c r="A2193" s="693"/>
      <c r="B2193" s="693"/>
      <c r="C2193" s="693"/>
      <c r="D2193" s="693"/>
      <c r="E2193" s="693"/>
      <c r="F2193" s="693"/>
      <c r="G2193" s="693"/>
      <c r="H2193" s="693"/>
      <c r="I2193" s="693"/>
      <c r="J2193" s="693"/>
      <c r="K2193" s="693"/>
      <c r="L2193" s="693"/>
      <c r="M2193" s="693"/>
      <c r="N2193" s="693"/>
      <c r="O2193" s="693"/>
      <c r="P2193" s="693"/>
      <c r="Q2193" s="693"/>
    </row>
    <row r="2194" spans="1:17" ht="13.5">
      <c r="A2194" s="693"/>
      <c r="B2194" s="693"/>
      <c r="C2194" s="693"/>
      <c r="D2194" s="693"/>
      <c r="E2194" s="693"/>
      <c r="F2194" s="693"/>
      <c r="G2194" s="693"/>
      <c r="H2194" s="693"/>
      <c r="I2194" s="693"/>
      <c r="J2194" s="693"/>
      <c r="K2194" s="693"/>
      <c r="L2194" s="693"/>
      <c r="M2194" s="693"/>
      <c r="N2194" s="693"/>
      <c r="O2194" s="693"/>
      <c r="P2194" s="693"/>
      <c r="Q2194" s="693"/>
    </row>
    <row r="2195" spans="1:17" ht="13.5">
      <c r="A2195" s="693"/>
      <c r="B2195" s="693"/>
      <c r="C2195" s="693"/>
      <c r="D2195" s="693"/>
      <c r="E2195" s="693"/>
      <c r="F2195" s="693"/>
      <c r="G2195" s="693"/>
      <c r="H2195" s="693"/>
      <c r="I2195" s="693"/>
      <c r="J2195" s="693"/>
      <c r="K2195" s="693"/>
      <c r="L2195" s="693"/>
      <c r="M2195" s="693"/>
      <c r="N2195" s="693"/>
      <c r="O2195" s="693"/>
      <c r="P2195" s="693"/>
      <c r="Q2195" s="693"/>
    </row>
    <row r="2196" spans="1:17" ht="13.5">
      <c r="A2196" s="693"/>
      <c r="B2196" s="693"/>
      <c r="C2196" s="693"/>
      <c r="D2196" s="693"/>
      <c r="E2196" s="693"/>
      <c r="F2196" s="693"/>
      <c r="G2196" s="693"/>
      <c r="H2196" s="693"/>
      <c r="I2196" s="693"/>
      <c r="J2196" s="693"/>
      <c r="K2196" s="693"/>
      <c r="L2196" s="693"/>
      <c r="M2196" s="693"/>
      <c r="N2196" s="693"/>
      <c r="O2196" s="693"/>
      <c r="P2196" s="693"/>
      <c r="Q2196" s="693"/>
    </row>
    <row r="2197" spans="1:17" ht="13.5">
      <c r="A2197" s="693"/>
      <c r="B2197" s="693"/>
      <c r="C2197" s="693"/>
      <c r="D2197" s="693"/>
      <c r="E2197" s="693"/>
      <c r="F2197" s="693"/>
      <c r="G2197" s="693"/>
      <c r="H2197" s="693"/>
      <c r="I2197" s="693"/>
      <c r="J2197" s="693"/>
      <c r="K2197" s="693"/>
      <c r="L2197" s="693"/>
      <c r="M2197" s="693"/>
      <c r="N2197" s="693"/>
      <c r="O2197" s="693"/>
      <c r="P2197" s="693"/>
      <c r="Q2197" s="693"/>
    </row>
    <row r="2198" spans="1:17" ht="13.5">
      <c r="A2198" s="693"/>
      <c r="B2198" s="693"/>
      <c r="C2198" s="693"/>
      <c r="D2198" s="693"/>
      <c r="E2198" s="693"/>
      <c r="F2198" s="693"/>
      <c r="G2198" s="693"/>
      <c r="H2198" s="693"/>
      <c r="I2198" s="693"/>
      <c r="J2198" s="693"/>
      <c r="K2198" s="693"/>
      <c r="L2198" s="693"/>
      <c r="M2198" s="693"/>
      <c r="N2198" s="693"/>
      <c r="O2198" s="693"/>
      <c r="P2198" s="693"/>
      <c r="Q2198" s="693"/>
    </row>
    <row r="2199" spans="1:17" ht="13.5">
      <c r="A2199" s="693"/>
      <c r="B2199" s="693"/>
      <c r="C2199" s="693"/>
      <c r="D2199" s="693"/>
      <c r="E2199" s="693"/>
      <c r="F2199" s="693"/>
      <c r="G2199" s="693"/>
      <c r="H2199" s="693"/>
      <c r="I2199" s="693"/>
      <c r="J2199" s="693"/>
      <c r="K2199" s="693"/>
      <c r="L2199" s="693"/>
      <c r="M2199" s="693"/>
      <c r="N2199" s="693"/>
      <c r="O2199" s="693"/>
      <c r="P2199" s="693"/>
      <c r="Q2199" s="693"/>
    </row>
    <row r="2200" spans="1:17" ht="13.5">
      <c r="A2200" s="693"/>
      <c r="B2200" s="693"/>
      <c r="C2200" s="693"/>
      <c r="D2200" s="693"/>
      <c r="E2200" s="693"/>
      <c r="F2200" s="693"/>
      <c r="G2200" s="693"/>
      <c r="H2200" s="693"/>
      <c r="I2200" s="693"/>
      <c r="J2200" s="693"/>
      <c r="K2200" s="693"/>
      <c r="L2200" s="693"/>
      <c r="M2200" s="693"/>
      <c r="N2200" s="693"/>
      <c r="O2200" s="693"/>
      <c r="P2200" s="693"/>
      <c r="Q2200" s="693"/>
    </row>
    <row r="2201" spans="1:17" ht="13.5">
      <c r="A2201" s="693"/>
      <c r="B2201" s="693"/>
      <c r="C2201" s="693"/>
      <c r="D2201" s="693"/>
      <c r="E2201" s="693"/>
      <c r="F2201" s="693"/>
      <c r="G2201" s="693"/>
      <c r="H2201" s="693"/>
      <c r="I2201" s="693"/>
      <c r="J2201" s="693"/>
      <c r="K2201" s="693"/>
      <c r="L2201" s="693"/>
      <c r="M2201" s="693"/>
      <c r="N2201" s="693"/>
      <c r="O2201" s="693"/>
      <c r="P2201" s="693"/>
      <c r="Q2201" s="693"/>
    </row>
    <row r="2202" spans="1:17" ht="13.5">
      <c r="A2202" s="693"/>
      <c r="B2202" s="693"/>
      <c r="C2202" s="693"/>
      <c r="D2202" s="693"/>
      <c r="E2202" s="693"/>
      <c r="F2202" s="693"/>
      <c r="G2202" s="693"/>
      <c r="H2202" s="693"/>
      <c r="I2202" s="693"/>
      <c r="J2202" s="693"/>
      <c r="K2202" s="693"/>
      <c r="L2202" s="693"/>
      <c r="M2202" s="693"/>
      <c r="N2202" s="693"/>
      <c r="O2202" s="693"/>
      <c r="P2202" s="693"/>
      <c r="Q2202" s="693"/>
    </row>
    <row r="2203" spans="1:17" ht="13.5">
      <c r="A2203" s="693"/>
      <c r="B2203" s="693"/>
      <c r="C2203" s="693"/>
      <c r="D2203" s="693"/>
      <c r="E2203" s="693"/>
      <c r="F2203" s="693"/>
      <c r="G2203" s="693"/>
      <c r="H2203" s="693"/>
      <c r="I2203" s="693"/>
      <c r="J2203" s="693"/>
      <c r="K2203" s="693"/>
      <c r="L2203" s="693"/>
      <c r="M2203" s="693"/>
      <c r="N2203" s="693"/>
      <c r="O2203" s="693"/>
      <c r="P2203" s="693"/>
      <c r="Q2203" s="693"/>
    </row>
    <row r="2204" spans="1:17" ht="13.5">
      <c r="A2204" s="693"/>
      <c r="B2204" s="693"/>
      <c r="C2204" s="693"/>
      <c r="D2204" s="693"/>
      <c r="E2204" s="693"/>
      <c r="F2204" s="693"/>
      <c r="G2204" s="693"/>
      <c r="H2204" s="693"/>
      <c r="I2204" s="693"/>
      <c r="J2204" s="693"/>
      <c r="K2204" s="693"/>
      <c r="L2204" s="693"/>
      <c r="M2204" s="693"/>
      <c r="N2204" s="693"/>
      <c r="O2204" s="693"/>
      <c r="P2204" s="693"/>
      <c r="Q2204" s="693"/>
    </row>
    <row r="2205" spans="1:17" ht="13.5">
      <c r="A2205" s="693"/>
      <c r="B2205" s="693"/>
      <c r="C2205" s="693"/>
      <c r="D2205" s="693"/>
      <c r="E2205" s="693"/>
      <c r="F2205" s="693"/>
      <c r="G2205" s="693"/>
      <c r="H2205" s="693"/>
      <c r="I2205" s="693"/>
      <c r="J2205" s="693"/>
      <c r="K2205" s="693"/>
      <c r="L2205" s="693"/>
      <c r="M2205" s="693"/>
      <c r="N2205" s="693"/>
      <c r="O2205" s="693"/>
      <c r="P2205" s="693"/>
      <c r="Q2205" s="693"/>
    </row>
    <row r="2206" spans="1:17" ht="13.5">
      <c r="A2206" s="693"/>
      <c r="B2206" s="693"/>
      <c r="C2206" s="693"/>
      <c r="D2206" s="693"/>
      <c r="E2206" s="693"/>
      <c r="F2206" s="693"/>
      <c r="G2206" s="693"/>
      <c r="H2206" s="693"/>
      <c r="I2206" s="693"/>
      <c r="J2206" s="693"/>
      <c r="K2206" s="693"/>
      <c r="L2206" s="693"/>
      <c r="M2206" s="693"/>
      <c r="N2206" s="693"/>
      <c r="O2206" s="693"/>
      <c r="P2206" s="693"/>
      <c r="Q2206" s="693"/>
    </row>
    <row r="2207" spans="1:17" ht="13.5">
      <c r="A2207" s="693"/>
      <c r="B2207" s="693"/>
      <c r="C2207" s="693"/>
      <c r="D2207" s="693"/>
      <c r="E2207" s="693"/>
      <c r="F2207" s="693"/>
      <c r="G2207" s="693"/>
      <c r="H2207" s="693"/>
      <c r="I2207" s="693"/>
      <c r="J2207" s="693"/>
      <c r="K2207" s="693"/>
      <c r="L2207" s="693"/>
      <c r="M2207" s="693"/>
      <c r="N2207" s="693"/>
      <c r="O2207" s="693"/>
      <c r="P2207" s="693"/>
      <c r="Q2207" s="693"/>
    </row>
    <row r="2208" spans="1:17" ht="13.5">
      <c r="A2208" s="693"/>
      <c r="B2208" s="693"/>
      <c r="C2208" s="693"/>
      <c r="D2208" s="693"/>
      <c r="E2208" s="693"/>
      <c r="F2208" s="693"/>
      <c r="G2208" s="693"/>
      <c r="H2208" s="693"/>
      <c r="I2208" s="693"/>
      <c r="J2208" s="693"/>
      <c r="K2208" s="693"/>
      <c r="L2208" s="693"/>
      <c r="M2208" s="693"/>
      <c r="N2208" s="693"/>
      <c r="O2208" s="693"/>
      <c r="P2208" s="693"/>
      <c r="Q2208" s="693"/>
    </row>
    <row r="2209" spans="1:17" ht="13.5">
      <c r="A2209" s="693"/>
      <c r="B2209" s="693"/>
      <c r="C2209" s="693"/>
      <c r="D2209" s="693"/>
      <c r="E2209" s="693"/>
      <c r="F2209" s="693"/>
      <c r="G2209" s="693"/>
      <c r="H2209" s="693"/>
      <c r="I2209" s="693"/>
      <c r="J2209" s="693"/>
      <c r="K2209" s="693"/>
      <c r="L2209" s="693"/>
      <c r="M2209" s="693"/>
      <c r="N2209" s="693"/>
      <c r="O2209" s="693"/>
      <c r="P2209" s="693"/>
      <c r="Q2209" s="693"/>
    </row>
    <row r="2210" spans="1:17" ht="13.5">
      <c r="A2210" s="693"/>
      <c r="B2210" s="693"/>
      <c r="C2210" s="693"/>
      <c r="D2210" s="693"/>
      <c r="E2210" s="693"/>
      <c r="F2210" s="693"/>
      <c r="G2210" s="693"/>
      <c r="H2210" s="693"/>
      <c r="I2210" s="693"/>
      <c r="J2210" s="693"/>
      <c r="K2210" s="693"/>
      <c r="L2210" s="693"/>
      <c r="M2210" s="693"/>
      <c r="N2210" s="693"/>
      <c r="O2210" s="693"/>
      <c r="P2210" s="693"/>
      <c r="Q2210" s="693"/>
    </row>
    <row r="2211" spans="1:17" ht="13.5">
      <c r="A2211" s="693"/>
      <c r="B2211" s="693"/>
      <c r="C2211" s="693"/>
      <c r="D2211" s="693"/>
      <c r="E2211" s="693"/>
      <c r="F2211" s="693"/>
      <c r="G2211" s="693"/>
      <c r="H2211" s="693"/>
      <c r="I2211" s="693"/>
      <c r="J2211" s="693"/>
      <c r="K2211" s="693"/>
      <c r="L2211" s="693"/>
      <c r="M2211" s="693"/>
      <c r="N2211" s="693"/>
      <c r="O2211" s="693"/>
      <c r="P2211" s="693"/>
      <c r="Q2211" s="693"/>
    </row>
    <row r="2212" spans="1:17" ht="13.5">
      <c r="A2212" s="693"/>
      <c r="B2212" s="693"/>
      <c r="C2212" s="693"/>
      <c r="D2212" s="693"/>
      <c r="E2212" s="693"/>
      <c r="F2212" s="693"/>
      <c r="G2212" s="693"/>
      <c r="H2212" s="693"/>
      <c r="I2212" s="693"/>
      <c r="J2212" s="693"/>
      <c r="K2212" s="693"/>
      <c r="L2212" s="693"/>
      <c r="M2212" s="693"/>
      <c r="N2212" s="693"/>
      <c r="O2212" s="693"/>
      <c r="P2212" s="693"/>
      <c r="Q2212" s="693"/>
    </row>
    <row r="2213" spans="1:17" ht="13.5">
      <c r="A2213" s="693"/>
      <c r="B2213" s="693"/>
      <c r="C2213" s="693"/>
      <c r="D2213" s="693"/>
      <c r="E2213" s="693"/>
      <c r="F2213" s="693"/>
      <c r="G2213" s="693"/>
      <c r="H2213" s="693"/>
      <c r="I2213" s="693"/>
      <c r="J2213" s="693"/>
      <c r="K2213" s="693"/>
      <c r="L2213" s="693"/>
      <c r="M2213" s="693"/>
      <c r="N2213" s="693"/>
      <c r="O2213" s="693"/>
      <c r="P2213" s="693"/>
      <c r="Q2213" s="693"/>
    </row>
    <row r="2214" spans="1:17" ht="13.5">
      <c r="A2214" s="693"/>
      <c r="B2214" s="693"/>
      <c r="C2214" s="693"/>
      <c r="D2214" s="693"/>
      <c r="E2214" s="693"/>
      <c r="F2214" s="693"/>
      <c r="G2214" s="693"/>
      <c r="H2214" s="693"/>
      <c r="I2214" s="693"/>
      <c r="J2214" s="693"/>
      <c r="K2214" s="693"/>
      <c r="L2214" s="693"/>
      <c r="M2214" s="693"/>
      <c r="N2214" s="693"/>
      <c r="O2214" s="693"/>
      <c r="P2214" s="693"/>
      <c r="Q2214" s="693"/>
    </row>
    <row r="2215" spans="1:17" ht="13.5">
      <c r="A2215" s="693"/>
      <c r="B2215" s="693"/>
      <c r="C2215" s="693"/>
      <c r="D2215" s="693"/>
      <c r="E2215" s="693"/>
      <c r="F2215" s="693"/>
      <c r="G2215" s="693"/>
      <c r="H2215" s="693"/>
      <c r="I2215" s="693"/>
      <c r="J2215" s="693"/>
      <c r="K2215" s="693"/>
      <c r="L2215" s="693"/>
      <c r="M2215" s="693"/>
      <c r="N2215" s="693"/>
      <c r="O2215" s="693"/>
      <c r="P2215" s="693"/>
      <c r="Q2215" s="693"/>
    </row>
    <row r="2216" spans="1:17" ht="13.5">
      <c r="A2216" s="693"/>
      <c r="B2216" s="693"/>
      <c r="C2216" s="693"/>
      <c r="D2216" s="693"/>
      <c r="E2216" s="693"/>
      <c r="F2216" s="693"/>
      <c r="G2216" s="693"/>
      <c r="H2216" s="693"/>
      <c r="I2216" s="693"/>
      <c r="J2216" s="693"/>
      <c r="K2216" s="693"/>
      <c r="L2216" s="693"/>
      <c r="M2216" s="693"/>
      <c r="N2216" s="693"/>
      <c r="O2216" s="693"/>
      <c r="P2216" s="693"/>
      <c r="Q2216" s="693"/>
    </row>
    <row r="2217" spans="1:17" ht="13.5">
      <c r="A2217" s="693"/>
      <c r="B2217" s="693"/>
      <c r="C2217" s="693"/>
      <c r="D2217" s="693"/>
      <c r="E2217" s="693"/>
      <c r="F2217" s="693"/>
      <c r="G2217" s="693"/>
      <c r="H2217" s="693"/>
      <c r="I2217" s="693"/>
      <c r="J2217" s="693"/>
      <c r="K2217" s="693"/>
      <c r="L2217" s="693"/>
      <c r="M2217" s="693"/>
      <c r="N2217" s="693"/>
      <c r="O2217" s="693"/>
      <c r="P2217" s="693"/>
      <c r="Q2217" s="693"/>
    </row>
    <row r="2218" spans="1:17" ht="13.5">
      <c r="A2218" s="693"/>
      <c r="B2218" s="693"/>
      <c r="C2218" s="693"/>
      <c r="D2218" s="693"/>
      <c r="E2218" s="693"/>
      <c r="F2218" s="693"/>
      <c r="G2218" s="693"/>
      <c r="H2218" s="693"/>
      <c r="I2218" s="693"/>
      <c r="J2218" s="693"/>
      <c r="K2218" s="693"/>
      <c r="L2218" s="693"/>
      <c r="M2218" s="693"/>
      <c r="N2218" s="693"/>
      <c r="O2218" s="693"/>
      <c r="P2218" s="693"/>
      <c r="Q2218" s="693"/>
    </row>
    <row r="2219" spans="1:17" ht="13.5">
      <c r="A2219" s="693"/>
      <c r="B2219" s="693"/>
      <c r="C2219" s="693"/>
      <c r="D2219" s="693"/>
      <c r="E2219" s="693"/>
      <c r="F2219" s="693"/>
      <c r="G2219" s="693"/>
      <c r="H2219" s="693"/>
      <c r="I2219" s="693"/>
      <c r="J2219" s="693"/>
      <c r="K2219" s="693"/>
      <c r="L2219" s="693"/>
      <c r="M2219" s="693"/>
      <c r="N2219" s="693"/>
      <c r="O2219" s="693"/>
      <c r="P2219" s="693"/>
      <c r="Q2219" s="693"/>
    </row>
    <row r="2220" spans="1:17" ht="13.5">
      <c r="A2220" s="693"/>
      <c r="B2220" s="693"/>
      <c r="C2220" s="693"/>
      <c r="D2220" s="693"/>
      <c r="E2220" s="693"/>
      <c r="F2220" s="693"/>
      <c r="G2220" s="693"/>
      <c r="H2220" s="693"/>
      <c r="I2220" s="693"/>
      <c r="J2220" s="693"/>
      <c r="K2220" s="693"/>
      <c r="L2220" s="693"/>
      <c r="M2220" s="693"/>
      <c r="N2220" s="693"/>
      <c r="O2220" s="693"/>
      <c r="P2220" s="693"/>
      <c r="Q2220" s="693"/>
    </row>
    <row r="2221" spans="1:17" ht="13.5">
      <c r="A2221" s="693"/>
      <c r="B2221" s="693"/>
      <c r="C2221" s="693"/>
      <c r="D2221" s="693"/>
      <c r="E2221" s="693"/>
      <c r="F2221" s="693"/>
      <c r="G2221" s="693"/>
      <c r="H2221" s="693"/>
      <c r="I2221" s="693"/>
      <c r="J2221" s="693"/>
      <c r="K2221" s="693"/>
      <c r="L2221" s="693"/>
      <c r="M2221" s="693"/>
      <c r="N2221" s="693"/>
      <c r="O2221" s="693"/>
      <c r="P2221" s="693"/>
      <c r="Q2221" s="693"/>
    </row>
    <row r="2222" spans="1:17" ht="13.5">
      <c r="A2222" s="693"/>
      <c r="B2222" s="693"/>
      <c r="C2222" s="693"/>
      <c r="D2222" s="693"/>
      <c r="E2222" s="693"/>
      <c r="F2222" s="693"/>
      <c r="G2222" s="693"/>
      <c r="H2222" s="693"/>
      <c r="I2222" s="693"/>
      <c r="J2222" s="693"/>
      <c r="K2222" s="693"/>
      <c r="L2222" s="693"/>
      <c r="M2222" s="693"/>
      <c r="N2222" s="693"/>
      <c r="O2222" s="693"/>
      <c r="P2222" s="693"/>
      <c r="Q2222" s="693"/>
    </row>
    <row r="2223" spans="1:17" ht="13.5">
      <c r="A2223" s="693"/>
      <c r="B2223" s="693"/>
      <c r="C2223" s="693"/>
      <c r="D2223" s="693"/>
      <c r="E2223" s="693"/>
      <c r="F2223" s="693"/>
      <c r="G2223" s="693"/>
      <c r="H2223" s="693"/>
      <c r="I2223" s="693"/>
      <c r="J2223" s="693"/>
      <c r="K2223" s="693"/>
      <c r="L2223" s="693"/>
      <c r="M2223" s="693"/>
      <c r="N2223" s="693"/>
      <c r="O2223" s="693"/>
      <c r="P2223" s="693"/>
      <c r="Q2223" s="693"/>
    </row>
    <row r="2224" spans="1:17" ht="13.5">
      <c r="A2224" s="693"/>
      <c r="B2224" s="693"/>
      <c r="C2224" s="693"/>
      <c r="D2224" s="693"/>
      <c r="E2224" s="693"/>
      <c r="F2224" s="693"/>
      <c r="G2224" s="693"/>
      <c r="H2224" s="693"/>
      <c r="I2224" s="693"/>
      <c r="J2224" s="693"/>
      <c r="K2224" s="693"/>
      <c r="L2224" s="693"/>
      <c r="M2224" s="693"/>
      <c r="N2224" s="693"/>
      <c r="O2224" s="693"/>
      <c r="P2224" s="693"/>
      <c r="Q2224" s="693"/>
    </row>
    <row r="2225" spans="1:17" ht="13.5">
      <c r="A2225" s="693"/>
      <c r="B2225" s="693"/>
      <c r="C2225" s="693"/>
      <c r="D2225" s="693"/>
      <c r="E2225" s="693"/>
      <c r="F2225" s="693"/>
      <c r="G2225" s="693"/>
      <c r="H2225" s="693"/>
      <c r="I2225" s="693"/>
      <c r="J2225" s="693"/>
      <c r="K2225" s="693"/>
      <c r="L2225" s="693"/>
      <c r="M2225" s="693"/>
      <c r="N2225" s="693"/>
      <c r="O2225" s="693"/>
      <c r="P2225" s="693"/>
      <c r="Q2225" s="693"/>
    </row>
    <row r="2226" spans="1:17" ht="13.5">
      <c r="A2226" s="693"/>
      <c r="B2226" s="693"/>
      <c r="C2226" s="693"/>
      <c r="D2226" s="693"/>
      <c r="E2226" s="693"/>
      <c r="F2226" s="693"/>
      <c r="G2226" s="693"/>
      <c r="H2226" s="693"/>
      <c r="I2226" s="693"/>
      <c r="J2226" s="693"/>
      <c r="K2226" s="693"/>
      <c r="L2226" s="693"/>
      <c r="M2226" s="693"/>
      <c r="N2226" s="693"/>
      <c r="O2226" s="693"/>
      <c r="P2226" s="693"/>
      <c r="Q2226" s="693"/>
    </row>
    <row r="2227" spans="1:17" ht="13.5">
      <c r="A2227" s="693"/>
      <c r="B2227" s="693"/>
      <c r="C2227" s="693"/>
      <c r="D2227" s="693"/>
      <c r="E2227" s="693"/>
      <c r="F2227" s="693"/>
      <c r="G2227" s="693"/>
      <c r="H2227" s="693"/>
      <c r="I2227" s="693"/>
      <c r="J2227" s="693"/>
      <c r="K2227" s="693"/>
      <c r="L2227" s="693"/>
      <c r="M2227" s="693"/>
      <c r="N2227" s="693"/>
      <c r="O2227" s="693"/>
      <c r="P2227" s="693"/>
      <c r="Q2227" s="693"/>
    </row>
    <row r="2228" spans="1:17" ht="13.5">
      <c r="A2228" s="693"/>
      <c r="B2228" s="693"/>
      <c r="C2228" s="693"/>
      <c r="D2228" s="693"/>
      <c r="E2228" s="693"/>
      <c r="F2228" s="693"/>
      <c r="G2228" s="693"/>
      <c r="H2228" s="693"/>
      <c r="I2228" s="693"/>
      <c r="J2228" s="693"/>
      <c r="K2228" s="693"/>
      <c r="L2228" s="693"/>
      <c r="M2228" s="693"/>
      <c r="N2228" s="693"/>
      <c r="O2228" s="693"/>
      <c r="P2228" s="693"/>
      <c r="Q2228" s="693"/>
    </row>
    <row r="2229" spans="1:17" ht="13.5">
      <c r="A2229" s="693"/>
      <c r="B2229" s="693"/>
      <c r="C2229" s="693"/>
      <c r="D2229" s="693"/>
      <c r="E2229" s="693"/>
      <c r="F2229" s="693"/>
      <c r="G2229" s="693"/>
      <c r="H2229" s="693"/>
      <c r="I2229" s="693"/>
      <c r="J2229" s="693"/>
      <c r="K2229" s="693"/>
      <c r="L2229" s="693"/>
      <c r="M2229" s="693"/>
      <c r="N2229" s="693"/>
      <c r="O2229" s="693"/>
      <c r="P2229" s="693"/>
      <c r="Q2229" s="693"/>
    </row>
    <row r="2230" spans="1:17" ht="13.5">
      <c r="A2230" s="693"/>
      <c r="B2230" s="693"/>
      <c r="C2230" s="693"/>
      <c r="D2230" s="693"/>
      <c r="E2230" s="693"/>
      <c r="F2230" s="693"/>
      <c r="G2230" s="693"/>
      <c r="H2230" s="693"/>
      <c r="I2230" s="693"/>
      <c r="J2230" s="693"/>
      <c r="K2230" s="693"/>
      <c r="L2230" s="693"/>
      <c r="M2230" s="693"/>
      <c r="N2230" s="693"/>
      <c r="O2230" s="693"/>
      <c r="P2230" s="693"/>
      <c r="Q2230" s="693"/>
    </row>
    <row r="2231" spans="1:17" ht="13.5">
      <c r="A2231" s="693"/>
      <c r="B2231" s="693"/>
      <c r="C2231" s="693"/>
      <c r="D2231" s="693"/>
      <c r="E2231" s="693"/>
      <c r="F2231" s="693"/>
      <c r="G2231" s="693"/>
      <c r="H2231" s="693"/>
      <c r="I2231" s="693"/>
      <c r="J2231" s="693"/>
      <c r="K2231" s="693"/>
      <c r="L2231" s="693"/>
      <c r="M2231" s="693"/>
      <c r="N2231" s="693"/>
      <c r="O2231" s="693"/>
      <c r="P2231" s="693"/>
      <c r="Q2231" s="693"/>
    </row>
    <row r="2232" spans="1:17" ht="13.5">
      <c r="A2232" s="693"/>
      <c r="B2232" s="693"/>
      <c r="C2232" s="693"/>
      <c r="D2232" s="693"/>
      <c r="E2232" s="693"/>
      <c r="F2232" s="693"/>
      <c r="G2232" s="693"/>
      <c r="H2232" s="693"/>
      <c r="I2232" s="693"/>
      <c r="J2232" s="693"/>
      <c r="K2232" s="693"/>
      <c r="L2232" s="693"/>
      <c r="M2232" s="693"/>
      <c r="N2232" s="693"/>
      <c r="O2232" s="693"/>
      <c r="P2232" s="693"/>
      <c r="Q2232" s="693"/>
    </row>
    <row r="2233" spans="1:17" ht="13.5">
      <c r="A2233" s="693"/>
      <c r="B2233" s="693"/>
      <c r="C2233" s="693"/>
      <c r="D2233" s="693"/>
      <c r="E2233" s="693"/>
      <c r="F2233" s="693"/>
      <c r="G2233" s="693"/>
      <c r="H2233" s="693"/>
      <c r="I2233" s="693"/>
      <c r="J2233" s="693"/>
      <c r="K2233" s="693"/>
      <c r="L2233" s="693"/>
      <c r="M2233" s="693"/>
      <c r="N2233" s="693"/>
      <c r="O2233" s="693"/>
      <c r="P2233" s="693"/>
      <c r="Q2233" s="693"/>
    </row>
    <row r="2234" spans="1:17" ht="13.5">
      <c r="A2234" s="693"/>
      <c r="B2234" s="693"/>
      <c r="C2234" s="693"/>
      <c r="D2234" s="693"/>
      <c r="E2234" s="693"/>
      <c r="F2234" s="693"/>
      <c r="G2234" s="693"/>
      <c r="H2234" s="693"/>
      <c r="I2234" s="693"/>
      <c r="J2234" s="693"/>
      <c r="K2234" s="693"/>
      <c r="L2234" s="693"/>
      <c r="M2234" s="693"/>
      <c r="N2234" s="693"/>
      <c r="O2234" s="693"/>
      <c r="P2234" s="693"/>
      <c r="Q2234" s="693"/>
    </row>
    <row r="2235" spans="1:17" ht="13.5">
      <c r="A2235" s="693"/>
      <c r="B2235" s="693"/>
      <c r="C2235" s="693"/>
      <c r="D2235" s="693"/>
      <c r="E2235" s="693"/>
      <c r="F2235" s="693"/>
      <c r="G2235" s="693"/>
      <c r="H2235" s="693"/>
      <c r="I2235" s="693"/>
      <c r="J2235" s="693"/>
      <c r="K2235" s="693"/>
      <c r="L2235" s="693"/>
      <c r="M2235" s="693"/>
      <c r="N2235" s="693"/>
      <c r="O2235" s="693"/>
      <c r="P2235" s="693"/>
      <c r="Q2235" s="693"/>
    </row>
    <row r="2236" spans="1:17" ht="13.5">
      <c r="A2236" s="693"/>
      <c r="B2236" s="693"/>
      <c r="C2236" s="693"/>
      <c r="D2236" s="693"/>
      <c r="E2236" s="693"/>
      <c r="F2236" s="693"/>
      <c r="G2236" s="693"/>
      <c r="H2236" s="693"/>
      <c r="I2236" s="693"/>
      <c r="J2236" s="693"/>
      <c r="K2236" s="693"/>
      <c r="L2236" s="693"/>
      <c r="M2236" s="693"/>
      <c r="N2236" s="693"/>
      <c r="O2236" s="693"/>
      <c r="P2236" s="693"/>
      <c r="Q2236" s="693"/>
    </row>
    <row r="2237" spans="1:17" ht="13.5">
      <c r="A2237" s="693"/>
      <c r="B2237" s="693"/>
      <c r="C2237" s="693"/>
      <c r="D2237" s="693"/>
      <c r="E2237" s="693"/>
      <c r="F2237" s="693"/>
      <c r="G2237" s="693"/>
      <c r="H2237" s="693"/>
      <c r="I2237" s="693"/>
      <c r="J2237" s="693"/>
      <c r="K2237" s="693"/>
      <c r="L2237" s="693"/>
      <c r="M2237" s="693"/>
      <c r="N2237" s="693"/>
      <c r="O2237" s="693"/>
      <c r="P2237" s="693"/>
      <c r="Q2237" s="693"/>
    </row>
    <row r="2238" spans="1:17" ht="13.5">
      <c r="A2238" s="693"/>
      <c r="B2238" s="693"/>
      <c r="C2238" s="693"/>
      <c r="D2238" s="693"/>
      <c r="E2238" s="693"/>
      <c r="F2238" s="693"/>
      <c r="G2238" s="693"/>
      <c r="H2238" s="693"/>
      <c r="I2238" s="693"/>
      <c r="J2238" s="693"/>
      <c r="K2238" s="693"/>
      <c r="L2238" s="693"/>
      <c r="M2238" s="693"/>
      <c r="N2238" s="693"/>
      <c r="O2238" s="693"/>
      <c r="P2238" s="693"/>
      <c r="Q2238" s="693"/>
    </row>
    <row r="2239" spans="1:17" ht="13.5">
      <c r="A2239" s="693"/>
      <c r="B2239" s="693"/>
      <c r="C2239" s="693"/>
      <c r="D2239" s="693"/>
      <c r="E2239" s="693"/>
      <c r="F2239" s="693"/>
      <c r="G2239" s="693"/>
      <c r="H2239" s="693"/>
      <c r="I2239" s="693"/>
      <c r="J2239" s="693"/>
      <c r="K2239" s="693"/>
      <c r="L2239" s="693"/>
      <c r="M2239" s="693"/>
      <c r="N2239" s="693"/>
      <c r="O2239" s="693"/>
      <c r="P2239" s="693"/>
      <c r="Q2239" s="693"/>
    </row>
    <row r="2240" spans="1:17" ht="13.5">
      <c r="A2240" s="693"/>
      <c r="B2240" s="693"/>
      <c r="C2240" s="693"/>
      <c r="D2240" s="693"/>
      <c r="E2240" s="693"/>
      <c r="F2240" s="693"/>
      <c r="G2240" s="693"/>
      <c r="H2240" s="693"/>
      <c r="I2240" s="693"/>
      <c r="J2240" s="693"/>
      <c r="K2240" s="693"/>
      <c r="L2240" s="693"/>
      <c r="M2240" s="693"/>
      <c r="N2240" s="693"/>
      <c r="O2240" s="693"/>
      <c r="P2240" s="693"/>
      <c r="Q2240" s="693"/>
    </row>
    <row r="2241" spans="1:17" ht="13.5">
      <c r="A2241" s="693"/>
      <c r="B2241" s="693"/>
      <c r="C2241" s="693"/>
      <c r="D2241" s="693"/>
      <c r="E2241" s="693"/>
      <c r="F2241" s="693"/>
      <c r="G2241" s="693"/>
      <c r="H2241" s="693"/>
      <c r="I2241" s="693"/>
      <c r="J2241" s="693"/>
      <c r="K2241" s="693"/>
      <c r="L2241" s="693"/>
      <c r="M2241" s="693"/>
      <c r="N2241" s="693"/>
      <c r="O2241" s="693"/>
      <c r="P2241" s="693"/>
      <c r="Q2241" s="693"/>
    </row>
    <row r="2242" spans="1:17" ht="13.5">
      <c r="A2242" s="693"/>
      <c r="B2242" s="693"/>
      <c r="C2242" s="693"/>
      <c r="D2242" s="693"/>
      <c r="E2242" s="693"/>
      <c r="F2242" s="693"/>
      <c r="G2242" s="693"/>
      <c r="H2242" s="693"/>
      <c r="I2242" s="693"/>
      <c r="J2242" s="693"/>
      <c r="K2242" s="693"/>
      <c r="L2242" s="693"/>
      <c r="M2242" s="693"/>
      <c r="N2242" s="693"/>
      <c r="O2242" s="693"/>
      <c r="P2242" s="693"/>
      <c r="Q2242" s="693"/>
    </row>
    <row r="2243" spans="1:17" ht="13.5">
      <c r="A2243" s="693"/>
      <c r="B2243" s="693"/>
      <c r="C2243" s="693"/>
      <c r="D2243" s="693"/>
      <c r="E2243" s="693"/>
      <c r="F2243" s="693"/>
      <c r="G2243" s="693"/>
      <c r="H2243" s="693"/>
      <c r="I2243" s="693"/>
      <c r="J2243" s="693"/>
      <c r="K2243" s="693"/>
      <c r="L2243" s="693"/>
      <c r="M2243" s="693"/>
      <c r="N2243" s="693"/>
      <c r="O2243" s="693"/>
      <c r="P2243" s="693"/>
      <c r="Q2243" s="693"/>
    </row>
    <row r="2244" spans="1:17" ht="13.5">
      <c r="A2244" s="693"/>
      <c r="B2244" s="693"/>
      <c r="C2244" s="693"/>
      <c r="D2244" s="693"/>
      <c r="E2244" s="693"/>
      <c r="F2244" s="693"/>
      <c r="G2244" s="693"/>
      <c r="H2244" s="693"/>
      <c r="I2244" s="693"/>
      <c r="J2244" s="693"/>
      <c r="K2244" s="693"/>
      <c r="L2244" s="693"/>
      <c r="M2244" s="693"/>
      <c r="N2244" s="693"/>
      <c r="O2244" s="693"/>
      <c r="P2244" s="693"/>
      <c r="Q2244" s="693"/>
    </row>
    <row r="2245" spans="1:17" ht="13.5">
      <c r="A2245" s="693"/>
      <c r="B2245" s="693"/>
      <c r="C2245" s="693"/>
      <c r="D2245" s="693"/>
      <c r="E2245" s="693"/>
      <c r="F2245" s="693"/>
      <c r="G2245" s="693"/>
      <c r="H2245" s="693"/>
      <c r="I2245" s="693"/>
      <c r="J2245" s="693"/>
      <c r="K2245" s="693"/>
      <c r="L2245" s="693"/>
      <c r="M2245" s="693"/>
      <c r="N2245" s="693"/>
      <c r="O2245" s="693"/>
      <c r="P2245" s="693"/>
      <c r="Q2245" s="693"/>
    </row>
    <row r="2246" spans="1:17" ht="13.5">
      <c r="A2246" s="693"/>
      <c r="B2246" s="693"/>
      <c r="C2246" s="693"/>
      <c r="D2246" s="693"/>
      <c r="E2246" s="693"/>
      <c r="F2246" s="693"/>
      <c r="G2246" s="693"/>
      <c r="H2246" s="693"/>
      <c r="I2246" s="693"/>
      <c r="J2246" s="693"/>
      <c r="K2246" s="693"/>
      <c r="L2246" s="693"/>
      <c r="M2246" s="693"/>
      <c r="N2246" s="693"/>
      <c r="O2246" s="693"/>
      <c r="P2246" s="693"/>
      <c r="Q2246" s="693"/>
    </row>
    <row r="2247" spans="1:17" ht="13.5">
      <c r="A2247" s="693"/>
      <c r="B2247" s="693"/>
      <c r="C2247" s="693"/>
      <c r="D2247" s="693"/>
      <c r="E2247" s="693"/>
      <c r="F2247" s="693"/>
      <c r="G2247" s="693"/>
      <c r="H2247" s="693"/>
      <c r="I2247" s="693"/>
      <c r="J2247" s="693"/>
      <c r="K2247" s="693"/>
      <c r="L2247" s="693"/>
      <c r="M2247" s="693"/>
      <c r="N2247" s="693"/>
      <c r="O2247" s="693"/>
      <c r="P2247" s="693"/>
      <c r="Q2247" s="693"/>
    </row>
    <row r="2248" spans="1:17" ht="13.5">
      <c r="A2248" s="693"/>
      <c r="B2248" s="693"/>
      <c r="C2248" s="693"/>
      <c r="D2248" s="693"/>
      <c r="E2248" s="693"/>
      <c r="F2248" s="693"/>
      <c r="G2248" s="693"/>
      <c r="H2248" s="693"/>
      <c r="I2248" s="693"/>
      <c r="J2248" s="693"/>
      <c r="K2248" s="693"/>
      <c r="L2248" s="693"/>
      <c r="M2248" s="693"/>
      <c r="N2248" s="693"/>
      <c r="O2248" s="693"/>
      <c r="P2248" s="693"/>
      <c r="Q2248" s="693"/>
    </row>
    <row r="2249" spans="1:17" ht="13.5">
      <c r="A2249" s="693"/>
      <c r="B2249" s="693"/>
      <c r="C2249" s="693"/>
      <c r="D2249" s="693"/>
      <c r="E2249" s="693"/>
      <c r="F2249" s="693"/>
      <c r="G2249" s="693"/>
      <c r="H2249" s="693"/>
      <c r="I2249" s="693"/>
      <c r="J2249" s="693"/>
      <c r="K2249" s="693"/>
      <c r="L2249" s="693"/>
      <c r="M2249" s="693"/>
      <c r="N2249" s="693"/>
      <c r="O2249" s="693"/>
      <c r="P2249" s="693"/>
      <c r="Q2249" s="693"/>
    </row>
    <row r="2250" spans="1:17" ht="13.5">
      <c r="A2250" s="693"/>
      <c r="B2250" s="693"/>
      <c r="C2250" s="693"/>
      <c r="D2250" s="693"/>
      <c r="E2250" s="693"/>
      <c r="F2250" s="693"/>
      <c r="G2250" s="693"/>
      <c r="H2250" s="693"/>
      <c r="I2250" s="693"/>
      <c r="J2250" s="693"/>
      <c r="K2250" s="693"/>
      <c r="L2250" s="693"/>
      <c r="M2250" s="693"/>
      <c r="N2250" s="693"/>
      <c r="O2250" s="693"/>
      <c r="P2250" s="693"/>
      <c r="Q2250" s="693"/>
    </row>
    <row r="2251" spans="1:17" ht="13.5">
      <c r="A2251" s="693"/>
      <c r="B2251" s="693"/>
      <c r="C2251" s="693"/>
      <c r="D2251" s="693"/>
      <c r="E2251" s="693"/>
      <c r="F2251" s="693"/>
      <c r="G2251" s="693"/>
      <c r="H2251" s="693"/>
      <c r="I2251" s="693"/>
      <c r="J2251" s="693"/>
      <c r="K2251" s="693"/>
      <c r="L2251" s="693"/>
      <c r="M2251" s="693"/>
      <c r="N2251" s="693"/>
      <c r="O2251" s="693"/>
      <c r="P2251" s="693"/>
      <c r="Q2251" s="693"/>
    </row>
    <row r="2252" spans="1:17" ht="13.5">
      <c r="A2252" s="693"/>
      <c r="B2252" s="693"/>
      <c r="C2252" s="693"/>
      <c r="D2252" s="693"/>
      <c r="E2252" s="693"/>
      <c r="F2252" s="693"/>
      <c r="G2252" s="693"/>
      <c r="H2252" s="693"/>
      <c r="I2252" s="693"/>
      <c r="J2252" s="693"/>
      <c r="K2252" s="693"/>
      <c r="L2252" s="693"/>
      <c r="M2252" s="693"/>
      <c r="N2252" s="693"/>
      <c r="O2252" s="693"/>
      <c r="P2252" s="693"/>
      <c r="Q2252" s="693"/>
    </row>
    <row r="2253" spans="1:17" ht="13.5">
      <c r="A2253" s="693"/>
      <c r="B2253" s="693"/>
      <c r="C2253" s="693"/>
      <c r="D2253" s="693"/>
      <c r="E2253" s="693"/>
      <c r="F2253" s="693"/>
      <c r="G2253" s="693"/>
      <c r="H2253" s="693"/>
      <c r="I2253" s="693"/>
      <c r="J2253" s="693"/>
      <c r="K2253" s="693"/>
      <c r="L2253" s="693"/>
      <c r="M2253" s="693"/>
      <c r="N2253" s="693"/>
      <c r="O2253" s="693"/>
      <c r="P2253" s="693"/>
      <c r="Q2253" s="693"/>
    </row>
    <row r="2254" spans="1:17" ht="13.5">
      <c r="A2254" s="693"/>
      <c r="B2254" s="693"/>
      <c r="C2254" s="693"/>
      <c r="D2254" s="693"/>
      <c r="E2254" s="693"/>
      <c r="F2254" s="693"/>
      <c r="G2254" s="693"/>
      <c r="H2254" s="693"/>
      <c r="I2254" s="693"/>
      <c r="J2254" s="693"/>
      <c r="K2254" s="693"/>
      <c r="L2254" s="693"/>
      <c r="M2254" s="693"/>
      <c r="N2254" s="693"/>
      <c r="O2254" s="693"/>
      <c r="P2254" s="693"/>
      <c r="Q2254" s="693"/>
    </row>
  </sheetData>
  <mergeCells count="6">
    <mergeCell ref="A1:K1"/>
    <mergeCell ref="L1:Q1"/>
    <mergeCell ref="C11:K11"/>
    <mergeCell ref="N11:Q11"/>
    <mergeCell ref="C12:K12"/>
    <mergeCell ref="N12:Q12"/>
  </mergeCells>
  <phoneticPr fontId="3" type="noConversion"/>
  <pageMargins left="0.59055118110236227" right="0.39370078740157483" top="0.59055118110236227" bottom="0.59055118110236227" header="0.19685039370078741" footer="0.1968503937007874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49"/>
  <sheetViews>
    <sheetView view="pageBreakPreview" topLeftCell="A18" zoomScaleNormal="100" zoomScaleSheetLayoutView="100" workbookViewId="0">
      <selection activeCell="H44" sqref="H44"/>
    </sheetView>
  </sheetViews>
  <sheetFormatPr defaultRowHeight="13.5"/>
  <cols>
    <col min="1" max="1" width="5.6640625" style="692" customWidth="1"/>
    <col min="2" max="2" width="5.109375" style="692" customWidth="1"/>
    <col min="3" max="3" width="5.77734375" style="692" customWidth="1"/>
    <col min="4" max="4" width="1.77734375" style="692" customWidth="1"/>
    <col min="5" max="5" width="14" style="692" customWidth="1"/>
    <col min="6" max="6" width="0.88671875" style="692" customWidth="1"/>
    <col min="7" max="7" width="16" style="692" customWidth="1"/>
    <col min="8" max="8" width="15.6640625" style="692" customWidth="1"/>
    <col min="9" max="9" width="16.33203125" style="692" bestFit="1" customWidth="1"/>
    <col min="10" max="10" width="15.33203125" style="692" bestFit="1" customWidth="1"/>
    <col min="11" max="11" width="12.77734375" style="692" customWidth="1"/>
    <col min="12" max="12" width="8.88671875" style="692" hidden="1" customWidth="1"/>
    <col min="13" max="13" width="15.6640625" style="692" hidden="1" customWidth="1"/>
    <col min="14" max="14" width="8.88671875" style="692" customWidth="1"/>
    <col min="15" max="15" width="13" style="692" bestFit="1" customWidth="1"/>
    <col min="16" max="16384" width="8.88671875" style="692"/>
  </cols>
  <sheetData>
    <row r="1" spans="1:11" ht="25.5" customHeight="1">
      <c r="A1" s="1292" t="s">
        <v>791</v>
      </c>
      <c r="B1" s="1292"/>
      <c r="C1" s="1292"/>
      <c r="D1" s="1292"/>
      <c r="E1" s="1292"/>
      <c r="F1" s="1292"/>
      <c r="G1" s="1292"/>
      <c r="H1" s="1292"/>
      <c r="I1" s="1292"/>
      <c r="J1" s="1292"/>
      <c r="K1" s="1292"/>
    </row>
    <row r="2" spans="1:11">
      <c r="A2" s="712" t="s">
        <v>838</v>
      </c>
      <c r="B2" s="713"/>
      <c r="C2" s="714"/>
      <c r="D2" s="714"/>
      <c r="E2" s="714"/>
      <c r="F2" s="714"/>
      <c r="G2" s="715"/>
      <c r="H2" s="715"/>
      <c r="I2" s="715"/>
      <c r="J2" s="715"/>
      <c r="K2" s="715" t="s">
        <v>792</v>
      </c>
    </row>
    <row r="3" spans="1:11">
      <c r="A3" s="608"/>
      <c r="B3" s="609"/>
      <c r="C3" s="609"/>
      <c r="D3" s="609"/>
      <c r="E3" s="610" t="s">
        <v>85</v>
      </c>
      <c r="F3" s="611"/>
      <c r="G3" s="788" t="s">
        <v>793</v>
      </c>
      <c r="H3" s="788" t="s">
        <v>893</v>
      </c>
      <c r="I3" s="788" t="s">
        <v>894</v>
      </c>
      <c r="J3" s="788" t="s">
        <v>895</v>
      </c>
      <c r="K3" s="1293" t="s">
        <v>794</v>
      </c>
    </row>
    <row r="4" spans="1:11">
      <c r="A4" s="612" t="s">
        <v>405</v>
      </c>
      <c r="B4" s="613"/>
      <c r="C4" s="614"/>
      <c r="D4" s="614"/>
      <c r="E4" s="615"/>
      <c r="F4" s="616"/>
      <c r="G4" s="789" t="s">
        <v>795</v>
      </c>
      <c r="H4" s="789" t="s">
        <v>796</v>
      </c>
      <c r="I4" s="789" t="s">
        <v>796</v>
      </c>
      <c r="J4" s="789" t="s">
        <v>796</v>
      </c>
      <c r="K4" s="1293"/>
    </row>
    <row r="5" spans="1:11" ht="16.5" customHeight="1">
      <c r="A5" s="1278" t="s">
        <v>520</v>
      </c>
      <c r="B5" s="1284" t="s">
        <v>87</v>
      </c>
      <c r="C5" s="1272" t="s">
        <v>88</v>
      </c>
      <c r="D5" s="1273"/>
      <c r="E5" s="1273"/>
      <c r="F5" s="1273"/>
      <c r="G5" s="716">
        <f t="shared" ref="G5:G49" si="0">SUM(H5:J5)</f>
        <v>2050385724</v>
      </c>
      <c r="H5" s="791">
        <f>'용역원가(24년)'!H7</f>
        <v>683461908</v>
      </c>
      <c r="I5" s="791">
        <f>H5</f>
        <v>683461908</v>
      </c>
      <c r="J5" s="791">
        <f>I5</f>
        <v>683461908</v>
      </c>
      <c r="K5" s="717"/>
    </row>
    <row r="6" spans="1:11" ht="16.5" customHeight="1">
      <c r="A6" s="1279"/>
      <c r="B6" s="1285"/>
      <c r="C6" s="1287" t="s">
        <v>79</v>
      </c>
      <c r="D6" s="48"/>
      <c r="E6" s="619" t="s">
        <v>153</v>
      </c>
      <c r="F6" s="48"/>
      <c r="G6" s="716">
        <f t="shared" si="0"/>
        <v>157111200</v>
      </c>
      <c r="H6" s="791">
        <f>'용역원가(24년)'!H8</f>
        <v>52370400</v>
      </c>
      <c r="I6" s="791">
        <f t="shared" ref="I6:I46" si="1">H6</f>
        <v>52370400</v>
      </c>
      <c r="J6" s="791">
        <f t="shared" ref="J6:J46" si="2">I6</f>
        <v>52370400</v>
      </c>
      <c r="K6" s="716"/>
    </row>
    <row r="7" spans="1:11" ht="16.5" customHeight="1">
      <c r="A7" s="1279"/>
      <c r="B7" s="1285"/>
      <c r="C7" s="1288"/>
      <c r="D7" s="1294" t="s">
        <v>270</v>
      </c>
      <c r="E7" s="1295"/>
      <c r="F7" s="1296"/>
      <c r="G7" s="716">
        <f t="shared" si="0"/>
        <v>0</v>
      </c>
      <c r="H7" s="791">
        <f>'용역원가(24년)'!H9</f>
        <v>0</v>
      </c>
      <c r="I7" s="791">
        <f t="shared" si="1"/>
        <v>0</v>
      </c>
      <c r="J7" s="791">
        <f t="shared" si="2"/>
        <v>0</v>
      </c>
      <c r="K7" s="716"/>
    </row>
    <row r="8" spans="1:11" ht="16.5" customHeight="1">
      <c r="A8" s="1279"/>
      <c r="B8" s="1285"/>
      <c r="C8" s="1288"/>
      <c r="D8" s="1294" t="s">
        <v>276</v>
      </c>
      <c r="E8" s="1295"/>
      <c r="F8" s="1296"/>
      <c r="G8" s="716">
        <f t="shared" si="0"/>
        <v>320619600</v>
      </c>
      <c r="H8" s="791">
        <f>'용역원가(24년)'!H10</f>
        <v>106873200</v>
      </c>
      <c r="I8" s="791">
        <f t="shared" si="1"/>
        <v>106873200</v>
      </c>
      <c r="J8" s="791">
        <f t="shared" si="2"/>
        <v>106873200</v>
      </c>
      <c r="K8" s="716"/>
    </row>
    <row r="9" spans="1:11" ht="16.5" customHeight="1">
      <c r="A9" s="1279"/>
      <c r="B9" s="1285"/>
      <c r="C9" s="1289"/>
      <c r="D9" s="48"/>
      <c r="E9" s="619" t="s">
        <v>115</v>
      </c>
      <c r="F9" s="48"/>
      <c r="G9" s="716">
        <f t="shared" si="0"/>
        <v>477730800</v>
      </c>
      <c r="H9" s="791">
        <f>'용역원가(24년)'!H11</f>
        <v>159243600</v>
      </c>
      <c r="I9" s="791">
        <f t="shared" si="1"/>
        <v>159243600</v>
      </c>
      <c r="J9" s="791">
        <f t="shared" si="2"/>
        <v>159243600</v>
      </c>
      <c r="K9" s="716"/>
    </row>
    <row r="10" spans="1:11" ht="16.5" customHeight="1">
      <c r="A10" s="1279"/>
      <c r="B10" s="1285"/>
      <c r="C10" s="1268" t="s">
        <v>321</v>
      </c>
      <c r="D10" s="1266"/>
      <c r="E10" s="1266"/>
      <c r="F10" s="1266"/>
      <c r="G10" s="716">
        <f t="shared" si="0"/>
        <v>683461692</v>
      </c>
      <c r="H10" s="791">
        <f>'용역원가(24년)'!H12</f>
        <v>227820564</v>
      </c>
      <c r="I10" s="791">
        <f t="shared" si="1"/>
        <v>227820564</v>
      </c>
      <c r="J10" s="791">
        <f t="shared" si="2"/>
        <v>227820564</v>
      </c>
      <c r="K10" s="716"/>
    </row>
    <row r="11" spans="1:11" ht="16.5" customHeight="1">
      <c r="A11" s="1279"/>
      <c r="B11" s="1285"/>
      <c r="C11" s="1268" t="s">
        <v>322</v>
      </c>
      <c r="D11" s="1266"/>
      <c r="E11" s="1266"/>
      <c r="F11" s="1266"/>
      <c r="G11" s="716">
        <f t="shared" si="0"/>
        <v>267631056</v>
      </c>
      <c r="H11" s="791">
        <f>'용역원가(24년)'!H13</f>
        <v>89210352</v>
      </c>
      <c r="I11" s="791">
        <f t="shared" si="1"/>
        <v>89210352</v>
      </c>
      <c r="J11" s="791">
        <f t="shared" si="2"/>
        <v>89210352</v>
      </c>
      <c r="K11" s="716"/>
    </row>
    <row r="12" spans="1:11" ht="16.5" customHeight="1">
      <c r="A12" s="1279"/>
      <c r="B12" s="1286"/>
      <c r="C12" s="1272" t="s">
        <v>89</v>
      </c>
      <c r="D12" s="1273"/>
      <c r="E12" s="1273"/>
      <c r="F12" s="1273"/>
      <c r="G12" s="716">
        <f t="shared" si="0"/>
        <v>3479209272</v>
      </c>
      <c r="H12" s="791">
        <f>'용역원가(24년)'!H14</f>
        <v>1159736424</v>
      </c>
      <c r="I12" s="791">
        <f t="shared" si="1"/>
        <v>1159736424</v>
      </c>
      <c r="J12" s="791">
        <f t="shared" si="2"/>
        <v>1159736424</v>
      </c>
      <c r="K12" s="716"/>
    </row>
    <row r="13" spans="1:11" ht="16.5" customHeight="1">
      <c r="A13" s="1279"/>
      <c r="B13" s="1290" t="s">
        <v>522</v>
      </c>
      <c r="C13" s="1284" t="s">
        <v>90</v>
      </c>
      <c r="D13" s="48"/>
      <c r="E13" s="621" t="s">
        <v>148</v>
      </c>
      <c r="F13" s="621"/>
      <c r="G13" s="716">
        <f t="shared" si="0"/>
        <v>28903752</v>
      </c>
      <c r="H13" s="791">
        <f>'용역원가(24년)'!H15</f>
        <v>9634584</v>
      </c>
      <c r="I13" s="791">
        <f t="shared" si="1"/>
        <v>9634584</v>
      </c>
      <c r="J13" s="791">
        <f t="shared" si="2"/>
        <v>9634584</v>
      </c>
      <c r="K13" s="716"/>
    </row>
    <row r="14" spans="1:11" ht="16.5" customHeight="1">
      <c r="A14" s="1279"/>
      <c r="B14" s="1288"/>
      <c r="C14" s="1291"/>
      <c r="D14" s="48"/>
      <c r="E14" s="621" t="s">
        <v>91</v>
      </c>
      <c r="F14" s="621"/>
      <c r="G14" s="716">
        <f t="shared" si="0"/>
        <v>144520416</v>
      </c>
      <c r="H14" s="791">
        <f>'용역원가(24년)'!H16</f>
        <v>48173472</v>
      </c>
      <c r="I14" s="791">
        <f t="shared" si="1"/>
        <v>48173472</v>
      </c>
      <c r="J14" s="791">
        <f t="shared" si="2"/>
        <v>48173472</v>
      </c>
      <c r="K14" s="716"/>
    </row>
    <row r="15" spans="1:11" ht="16.5" customHeight="1">
      <c r="A15" s="1279"/>
      <c r="B15" s="1288"/>
      <c r="C15" s="1291"/>
      <c r="D15" s="48"/>
      <c r="E15" s="621" t="s">
        <v>92</v>
      </c>
      <c r="F15" s="621"/>
      <c r="G15" s="716">
        <f t="shared" si="0"/>
        <v>36932508</v>
      </c>
      <c r="H15" s="791">
        <f>'용역원가(24년)'!H17</f>
        <v>12310836</v>
      </c>
      <c r="I15" s="791">
        <f t="shared" si="1"/>
        <v>12310836</v>
      </c>
      <c r="J15" s="791">
        <f t="shared" si="2"/>
        <v>12310836</v>
      </c>
      <c r="K15" s="716"/>
    </row>
    <row r="16" spans="1:11" ht="16.5" customHeight="1">
      <c r="A16" s="1279"/>
      <c r="B16" s="1288"/>
      <c r="C16" s="1291"/>
      <c r="D16" s="48"/>
      <c r="E16" s="621" t="s">
        <v>93</v>
      </c>
      <c r="F16" s="621"/>
      <c r="G16" s="716">
        <f t="shared" si="0"/>
        <v>113850036</v>
      </c>
      <c r="H16" s="791">
        <f>'용역원가(24년)'!H18</f>
        <v>37950012</v>
      </c>
      <c r="I16" s="791">
        <f t="shared" si="1"/>
        <v>37950012</v>
      </c>
      <c r="J16" s="791">
        <f t="shared" si="2"/>
        <v>37950012</v>
      </c>
      <c r="K16" s="716"/>
    </row>
    <row r="17" spans="1:14" ht="16.5" customHeight="1">
      <c r="A17" s="1279"/>
      <c r="B17" s="1288"/>
      <c r="C17" s="1291"/>
      <c r="D17" s="48"/>
      <c r="E17" s="621" t="s">
        <v>210</v>
      </c>
      <c r="F17" s="621"/>
      <c r="G17" s="716">
        <f t="shared" si="0"/>
        <v>14583924</v>
      </c>
      <c r="H17" s="791">
        <f>'용역원가(24년)'!H19</f>
        <v>4861308</v>
      </c>
      <c r="I17" s="791">
        <f t="shared" si="1"/>
        <v>4861308</v>
      </c>
      <c r="J17" s="791">
        <f t="shared" si="2"/>
        <v>4861308</v>
      </c>
      <c r="K17" s="716"/>
    </row>
    <row r="18" spans="1:14" ht="16.5" customHeight="1">
      <c r="A18" s="1279"/>
      <c r="B18" s="1288"/>
      <c r="C18" s="1291"/>
      <c r="D18" s="48"/>
      <c r="E18" s="621" t="s">
        <v>94</v>
      </c>
      <c r="F18" s="621"/>
      <c r="G18" s="716">
        <f t="shared" si="0"/>
        <v>1926396</v>
      </c>
      <c r="H18" s="791">
        <f>'용역원가(24년)'!H20</f>
        <v>642132</v>
      </c>
      <c r="I18" s="791">
        <f t="shared" si="1"/>
        <v>642132</v>
      </c>
      <c r="J18" s="791">
        <f t="shared" si="2"/>
        <v>642132</v>
      </c>
      <c r="K18" s="719"/>
      <c r="L18" s="919"/>
      <c r="M18" s="920"/>
      <c r="N18" s="920"/>
    </row>
    <row r="19" spans="1:14" ht="16.5" customHeight="1">
      <c r="A19" s="1279"/>
      <c r="B19" s="1288"/>
      <c r="C19" s="1291"/>
      <c r="D19" s="48"/>
      <c r="E19" s="621" t="s">
        <v>634</v>
      </c>
      <c r="F19" s="621"/>
      <c r="G19" s="716">
        <f t="shared" si="0"/>
        <v>127944</v>
      </c>
      <c r="H19" s="791">
        <f>'용역원가(24년)'!H21</f>
        <v>42648</v>
      </c>
      <c r="I19" s="791">
        <f t="shared" si="1"/>
        <v>42648</v>
      </c>
      <c r="J19" s="791">
        <f t="shared" si="2"/>
        <v>42648</v>
      </c>
      <c r="K19" s="716"/>
      <c r="L19" s="919"/>
      <c r="M19" s="919"/>
      <c r="N19" s="919"/>
    </row>
    <row r="20" spans="1:14" ht="16.5" customHeight="1">
      <c r="A20" s="1279"/>
      <c r="B20" s="1288"/>
      <c r="C20" s="1269" t="s">
        <v>176</v>
      </c>
      <c r="D20" s="1270"/>
      <c r="E20" s="1270"/>
      <c r="F20" s="1270"/>
      <c r="G20" s="716">
        <f t="shared" si="0"/>
        <v>175292712</v>
      </c>
      <c r="H20" s="791">
        <f>'용역원가(24년)'!H22</f>
        <v>58430904</v>
      </c>
      <c r="I20" s="791">
        <f t="shared" si="1"/>
        <v>58430904</v>
      </c>
      <c r="J20" s="791">
        <f t="shared" si="2"/>
        <v>58430904</v>
      </c>
      <c r="K20" s="718"/>
      <c r="L20" s="919"/>
      <c r="M20" s="920"/>
      <c r="N20" s="920"/>
    </row>
    <row r="21" spans="1:14" ht="16.5" customHeight="1">
      <c r="A21" s="1279"/>
      <c r="B21" s="1288"/>
      <c r="C21" s="1269" t="s">
        <v>542</v>
      </c>
      <c r="D21" s="1270"/>
      <c r="E21" s="1270"/>
      <c r="F21" s="1270"/>
      <c r="G21" s="716">
        <f t="shared" si="0"/>
        <v>64713291</v>
      </c>
      <c r="H21" s="791">
        <f>'용역원가(24년)'!H23</f>
        <v>21571097</v>
      </c>
      <c r="I21" s="791">
        <f t="shared" si="1"/>
        <v>21571097</v>
      </c>
      <c r="J21" s="791">
        <f t="shared" si="2"/>
        <v>21571097</v>
      </c>
      <c r="K21" s="718"/>
      <c r="L21" s="919"/>
      <c r="M21" s="920"/>
      <c r="N21" s="920"/>
    </row>
    <row r="22" spans="1:14" ht="16.5" customHeight="1">
      <c r="A22" s="1279"/>
      <c r="B22" s="1288"/>
      <c r="C22" s="1269" t="s">
        <v>543</v>
      </c>
      <c r="D22" s="1270"/>
      <c r="E22" s="1270"/>
      <c r="F22" s="1270"/>
      <c r="G22" s="716">
        <f t="shared" si="0"/>
        <v>6026292</v>
      </c>
      <c r="H22" s="791">
        <f>'용역원가(24년)'!H24</f>
        <v>2008764</v>
      </c>
      <c r="I22" s="791">
        <f t="shared" si="1"/>
        <v>2008764</v>
      </c>
      <c r="J22" s="791">
        <f t="shared" si="2"/>
        <v>2008764</v>
      </c>
      <c r="K22" s="718"/>
      <c r="L22" s="919"/>
      <c r="M22" s="920"/>
      <c r="N22" s="920"/>
    </row>
    <row r="23" spans="1:14" ht="16.5" customHeight="1">
      <c r="A23" s="1279"/>
      <c r="B23" s="1288"/>
      <c r="C23" s="1269" t="s">
        <v>544</v>
      </c>
      <c r="D23" s="1270"/>
      <c r="E23" s="1270"/>
      <c r="F23" s="1270"/>
      <c r="G23" s="716">
        <f t="shared" si="0"/>
        <v>22587624</v>
      </c>
      <c r="H23" s="791">
        <f>'용역원가(24년)'!H25</f>
        <v>7529208</v>
      </c>
      <c r="I23" s="791">
        <f t="shared" si="1"/>
        <v>7529208</v>
      </c>
      <c r="J23" s="791">
        <f t="shared" si="2"/>
        <v>7529208</v>
      </c>
      <c r="K23" s="720"/>
      <c r="L23" s="921"/>
      <c r="M23" s="922"/>
      <c r="N23" s="922"/>
    </row>
    <row r="24" spans="1:14" ht="16.5" customHeight="1">
      <c r="A24" s="1279"/>
      <c r="B24" s="1288"/>
      <c r="C24" s="1269" t="s">
        <v>548</v>
      </c>
      <c r="D24" s="1270"/>
      <c r="E24" s="1270"/>
      <c r="F24" s="1270"/>
      <c r="G24" s="716">
        <f t="shared" si="0"/>
        <v>3443796</v>
      </c>
      <c r="H24" s="791">
        <f>'용역원가(24년)'!H26</f>
        <v>1147932</v>
      </c>
      <c r="I24" s="791">
        <f t="shared" si="1"/>
        <v>1147932</v>
      </c>
      <c r="J24" s="791">
        <f t="shared" si="2"/>
        <v>1147932</v>
      </c>
      <c r="K24" s="716"/>
    </row>
    <row r="25" spans="1:14" ht="16.5" customHeight="1">
      <c r="A25" s="1279"/>
      <c r="B25" s="1288"/>
      <c r="C25" s="1269" t="s">
        <v>545</v>
      </c>
      <c r="D25" s="1270"/>
      <c r="E25" s="1270"/>
      <c r="F25" s="1270"/>
      <c r="G25" s="716">
        <f t="shared" si="0"/>
        <v>6230376</v>
      </c>
      <c r="H25" s="791">
        <f>'용역원가(24년)'!H27</f>
        <v>2076792</v>
      </c>
      <c r="I25" s="791">
        <f t="shared" si="1"/>
        <v>2076792</v>
      </c>
      <c r="J25" s="791">
        <f t="shared" si="2"/>
        <v>2076792</v>
      </c>
      <c r="K25" s="716"/>
    </row>
    <row r="26" spans="1:14" ht="16.5" customHeight="1">
      <c r="A26" s="1279"/>
      <c r="B26" s="1289"/>
      <c r="C26" s="1272" t="s">
        <v>89</v>
      </c>
      <c r="D26" s="1273"/>
      <c r="E26" s="1273"/>
      <c r="F26" s="1273"/>
      <c r="G26" s="716">
        <f t="shared" si="0"/>
        <v>619139067</v>
      </c>
      <c r="H26" s="791">
        <f>'용역원가(24년)'!H28</f>
        <v>206379689</v>
      </c>
      <c r="I26" s="791">
        <f t="shared" si="1"/>
        <v>206379689</v>
      </c>
      <c r="J26" s="791">
        <f t="shared" si="2"/>
        <v>206379689</v>
      </c>
      <c r="K26" s="716"/>
    </row>
    <row r="27" spans="1:14" ht="16.5" customHeight="1">
      <c r="A27" s="1279"/>
      <c r="B27" s="1268" t="s">
        <v>347</v>
      </c>
      <c r="C27" s="1266"/>
      <c r="D27" s="1266"/>
      <c r="E27" s="1266"/>
      <c r="F27" s="1267"/>
      <c r="G27" s="716">
        <f t="shared" si="0"/>
        <v>4098348339</v>
      </c>
      <c r="H27" s="791">
        <f>'용역원가(24년)'!H29</f>
        <v>1366116113</v>
      </c>
      <c r="I27" s="791">
        <f t="shared" si="1"/>
        <v>1366116113</v>
      </c>
      <c r="J27" s="791">
        <f t="shared" si="2"/>
        <v>1366116113</v>
      </c>
      <c r="K27" s="716"/>
    </row>
    <row r="28" spans="1:14" ht="16.5" customHeight="1">
      <c r="A28" s="1279"/>
      <c r="B28" s="1268" t="s">
        <v>1347</v>
      </c>
      <c r="C28" s="1266"/>
      <c r="D28" s="1266"/>
      <c r="E28" s="1266"/>
      <c r="F28" s="1267"/>
      <c r="G28" s="716">
        <f t="shared" si="0"/>
        <v>368851320</v>
      </c>
      <c r="H28" s="791">
        <f>'용역원가(24년)'!H30</f>
        <v>122950440</v>
      </c>
      <c r="I28" s="791">
        <f t="shared" si="1"/>
        <v>122950440</v>
      </c>
      <c r="J28" s="791">
        <f t="shared" si="2"/>
        <v>122950440</v>
      </c>
      <c r="K28" s="716"/>
    </row>
    <row r="29" spans="1:14" ht="16.5" customHeight="1">
      <c r="A29" s="1279"/>
      <c r="B29" s="1268" t="s">
        <v>808</v>
      </c>
      <c r="C29" s="1266"/>
      <c r="D29" s="1266"/>
      <c r="E29" s="1266"/>
      <c r="F29" s="1267"/>
      <c r="G29" s="716">
        <f t="shared" si="0"/>
        <v>446719932</v>
      </c>
      <c r="H29" s="791">
        <f>'용역원가(24년)'!H31</f>
        <v>148906644</v>
      </c>
      <c r="I29" s="791">
        <f t="shared" si="1"/>
        <v>148906644</v>
      </c>
      <c r="J29" s="791">
        <f t="shared" si="2"/>
        <v>148906644</v>
      </c>
      <c r="K29" s="716"/>
    </row>
    <row r="30" spans="1:14" ht="16.5" customHeight="1">
      <c r="A30" s="1279"/>
      <c r="B30" s="1268" t="s">
        <v>348</v>
      </c>
      <c r="C30" s="1266"/>
      <c r="D30" s="1266"/>
      <c r="E30" s="1266"/>
      <c r="F30" s="1267"/>
      <c r="G30" s="716">
        <f t="shared" si="0"/>
        <v>4913919591</v>
      </c>
      <c r="H30" s="791">
        <f>'용역원가(24년)'!H32</f>
        <v>1637973197</v>
      </c>
      <c r="I30" s="791">
        <f t="shared" si="1"/>
        <v>1637973197</v>
      </c>
      <c r="J30" s="791">
        <f t="shared" si="2"/>
        <v>1637973197</v>
      </c>
      <c r="K30" s="716"/>
    </row>
    <row r="31" spans="1:14" ht="16.5" customHeight="1">
      <c r="A31" s="1279"/>
      <c r="B31" s="1268" t="s">
        <v>349</v>
      </c>
      <c r="C31" s="1266"/>
      <c r="D31" s="1266"/>
      <c r="E31" s="1266"/>
      <c r="F31" s="1267"/>
      <c r="G31" s="716">
        <f t="shared" si="0"/>
        <v>491391936</v>
      </c>
      <c r="H31" s="791">
        <f>'용역원가(24년)'!H33</f>
        <v>163797312</v>
      </c>
      <c r="I31" s="791">
        <f t="shared" si="1"/>
        <v>163797312</v>
      </c>
      <c r="J31" s="791">
        <f t="shared" si="2"/>
        <v>163797312</v>
      </c>
      <c r="K31" s="719"/>
    </row>
    <row r="32" spans="1:14" ht="16.5" customHeight="1">
      <c r="A32" s="1280"/>
      <c r="B32" s="1268" t="s">
        <v>519</v>
      </c>
      <c r="C32" s="1266"/>
      <c r="D32" s="1266"/>
      <c r="E32" s="1266"/>
      <c r="F32" s="1267"/>
      <c r="G32" s="716">
        <f t="shared" si="0"/>
        <v>5405311527</v>
      </c>
      <c r="H32" s="791">
        <f>'용역원가(24년)'!H34</f>
        <v>1801770509</v>
      </c>
      <c r="I32" s="791">
        <f t="shared" si="1"/>
        <v>1801770509</v>
      </c>
      <c r="J32" s="791">
        <f t="shared" si="2"/>
        <v>1801770509</v>
      </c>
      <c r="K32" s="719"/>
    </row>
    <row r="33" spans="1:15" ht="16.5" customHeight="1">
      <c r="A33" s="1278" t="s">
        <v>521</v>
      </c>
      <c r="B33" s="1281" t="s">
        <v>547</v>
      </c>
      <c r="C33" s="1269" t="s">
        <v>535</v>
      </c>
      <c r="D33" s="1270"/>
      <c r="E33" s="1270"/>
      <c r="F33" s="1271"/>
      <c r="G33" s="716">
        <f t="shared" si="0"/>
        <v>81000000</v>
      </c>
      <c r="H33" s="791">
        <f>'용역원가(24년)'!H35</f>
        <v>27000000</v>
      </c>
      <c r="I33" s="791">
        <f t="shared" si="1"/>
        <v>27000000</v>
      </c>
      <c r="J33" s="791">
        <f t="shared" si="2"/>
        <v>27000000</v>
      </c>
      <c r="K33" s="718"/>
    </row>
    <row r="34" spans="1:15" ht="16.5" customHeight="1">
      <c r="A34" s="1279"/>
      <c r="B34" s="1282"/>
      <c r="C34" s="1269" t="s">
        <v>577</v>
      </c>
      <c r="D34" s="1270"/>
      <c r="E34" s="1270"/>
      <c r="F34" s="1271"/>
      <c r="G34" s="716">
        <f t="shared" si="0"/>
        <v>1816520000</v>
      </c>
      <c r="H34" s="791">
        <f>'용역원가(24년)'!H36</f>
        <v>635840000</v>
      </c>
      <c r="I34" s="791">
        <f>'변동)수선유지비'!T30</f>
        <v>584840000</v>
      </c>
      <c r="J34" s="791">
        <f>'변동)수선유지비'!AE30</f>
        <v>595840000</v>
      </c>
      <c r="K34" s="721"/>
      <c r="M34" s="692" t="s">
        <v>1346</v>
      </c>
    </row>
    <row r="35" spans="1:15" ht="16.5" customHeight="1">
      <c r="A35" s="1279"/>
      <c r="B35" s="1282"/>
      <c r="C35" s="1269" t="s">
        <v>536</v>
      </c>
      <c r="D35" s="1270"/>
      <c r="E35" s="1270"/>
      <c r="F35" s="1271"/>
      <c r="G35" s="716">
        <f t="shared" si="0"/>
        <v>5409498</v>
      </c>
      <c r="H35" s="791">
        <f>'용역원가(24년)'!H37</f>
        <v>1803166</v>
      </c>
      <c r="I35" s="791">
        <f t="shared" si="1"/>
        <v>1803166</v>
      </c>
      <c r="J35" s="791">
        <f t="shared" si="2"/>
        <v>1803166</v>
      </c>
      <c r="K35" s="755"/>
    </row>
    <row r="36" spans="1:15" ht="16.5" customHeight="1">
      <c r="A36" s="1279"/>
      <c r="B36" s="1282"/>
      <c r="C36" s="1269" t="s">
        <v>656</v>
      </c>
      <c r="D36" s="1270"/>
      <c r="E36" s="1270"/>
      <c r="F36" s="1271"/>
      <c r="G36" s="716">
        <f t="shared" si="0"/>
        <v>87840000</v>
      </c>
      <c r="H36" s="791">
        <f>'용역원가(24년)'!H38</f>
        <v>29280000</v>
      </c>
      <c r="I36" s="791">
        <f t="shared" si="1"/>
        <v>29280000</v>
      </c>
      <c r="J36" s="791">
        <f t="shared" si="2"/>
        <v>29280000</v>
      </c>
      <c r="K36" s="721"/>
    </row>
    <row r="37" spans="1:15" ht="16.5" customHeight="1">
      <c r="A37" s="1279"/>
      <c r="B37" s="1282"/>
      <c r="C37" s="1269" t="s">
        <v>537</v>
      </c>
      <c r="D37" s="1270"/>
      <c r="E37" s="1270"/>
      <c r="F37" s="1271"/>
      <c r="G37" s="716">
        <f t="shared" si="0"/>
        <v>177804000</v>
      </c>
      <c r="H37" s="791">
        <f>'용역원가(24년)'!H39</f>
        <v>59268000</v>
      </c>
      <c r="I37" s="791">
        <f t="shared" si="1"/>
        <v>59268000</v>
      </c>
      <c r="J37" s="791">
        <f t="shared" si="2"/>
        <v>59268000</v>
      </c>
      <c r="K37" s="754"/>
    </row>
    <row r="38" spans="1:15" ht="16.5" customHeight="1">
      <c r="A38" s="1279"/>
      <c r="B38" s="1282"/>
      <c r="C38" s="1269" t="s">
        <v>538</v>
      </c>
      <c r="D38" s="1270"/>
      <c r="E38" s="1270"/>
      <c r="F38" s="1271"/>
      <c r="G38" s="716">
        <f t="shared" si="0"/>
        <v>18720000</v>
      </c>
      <c r="H38" s="791">
        <f>'용역원가(24년)'!H40</f>
        <v>6240000</v>
      </c>
      <c r="I38" s="791">
        <f t="shared" si="1"/>
        <v>6240000</v>
      </c>
      <c r="J38" s="791">
        <f t="shared" si="2"/>
        <v>6240000</v>
      </c>
      <c r="K38" s="754"/>
    </row>
    <row r="39" spans="1:15" ht="16.5" customHeight="1">
      <c r="A39" s="1279"/>
      <c r="B39" s="1282"/>
      <c r="C39" s="1269" t="s">
        <v>744</v>
      </c>
      <c r="D39" s="1270"/>
      <c r="E39" s="1270"/>
      <c r="F39" s="1271"/>
      <c r="G39" s="716">
        <f t="shared" si="0"/>
        <v>209113596.30479997</v>
      </c>
      <c r="H39" s="791">
        <f>'용역원가(24년)'!H41</f>
        <v>69704532.101599991</v>
      </c>
      <c r="I39" s="791">
        <f t="shared" si="1"/>
        <v>69704532.101599991</v>
      </c>
      <c r="J39" s="791">
        <f t="shared" si="2"/>
        <v>69704532.101599991</v>
      </c>
      <c r="K39" s="754"/>
    </row>
    <row r="40" spans="1:15" ht="16.5" customHeight="1">
      <c r="A40" s="1279"/>
      <c r="B40" s="1282"/>
      <c r="C40" s="1272" t="s">
        <v>89</v>
      </c>
      <c r="D40" s="1273"/>
      <c r="E40" s="1273"/>
      <c r="F40" s="1274"/>
      <c r="G40" s="716">
        <f t="shared" si="0"/>
        <v>2396407076.2031999</v>
      </c>
      <c r="H40" s="791">
        <f>'용역원가(24년)'!H42</f>
        <v>829135680</v>
      </c>
      <c r="I40" s="791">
        <f>SUM(I33:I39)</f>
        <v>778135698.10159993</v>
      </c>
      <c r="J40" s="791">
        <f>SUM(J33:J39)</f>
        <v>789135698.10159993</v>
      </c>
      <c r="K40" s="754"/>
      <c r="O40" s="790" t="s">
        <v>1079</v>
      </c>
    </row>
    <row r="41" spans="1:15" ht="16.5" customHeight="1">
      <c r="A41" s="1279"/>
      <c r="B41" s="1282"/>
      <c r="C41" s="1268" t="s">
        <v>526</v>
      </c>
      <c r="D41" s="1266"/>
      <c r="E41" s="1266"/>
      <c r="F41" s="1267"/>
      <c r="G41" s="716">
        <f t="shared" si="0"/>
        <v>2396407076.2031999</v>
      </c>
      <c r="H41" s="791">
        <f>'용역원가(24년)'!H43</f>
        <v>829135680</v>
      </c>
      <c r="I41" s="791">
        <f>I40</f>
        <v>778135698.10159993</v>
      </c>
      <c r="J41" s="791">
        <f>J40</f>
        <v>789135698.10159993</v>
      </c>
      <c r="K41" s="754"/>
    </row>
    <row r="42" spans="1:15" ht="16.5" customHeight="1">
      <c r="A42" s="1279"/>
      <c r="B42" s="1282"/>
      <c r="C42" s="1268" t="s">
        <v>349</v>
      </c>
      <c r="D42" s="1266"/>
      <c r="E42" s="1266"/>
      <c r="F42" s="1267"/>
      <c r="G42" s="622">
        <f>TRUNC(G41*10%,0)</f>
        <v>239640707</v>
      </c>
      <c r="H42" s="622">
        <f>TRUNC(H41*10%,0)</f>
        <v>82913568</v>
      </c>
      <c r="I42" s="622">
        <f>TRUNC(I41*10%,0)</f>
        <v>77813569</v>
      </c>
      <c r="J42" s="622">
        <f>TRUNC(J41*10%,0)</f>
        <v>78913569</v>
      </c>
      <c r="K42" s="754"/>
    </row>
    <row r="43" spans="1:15" ht="16.5" customHeight="1">
      <c r="A43" s="1279"/>
      <c r="B43" s="1283"/>
      <c r="C43" s="1268" t="s">
        <v>546</v>
      </c>
      <c r="D43" s="1266"/>
      <c r="E43" s="1266"/>
      <c r="F43" s="1267"/>
      <c r="G43" s="716">
        <f t="shared" si="0"/>
        <v>2636047782.2031999</v>
      </c>
      <c r="H43" s="791">
        <f>'용역원가(24년)'!H45</f>
        <v>912049248</v>
      </c>
      <c r="I43" s="791">
        <f>SUM(I41:I42)</f>
        <v>855949267.10159993</v>
      </c>
      <c r="J43" s="791">
        <f>SUM(J41:J42)</f>
        <v>868049267.10159993</v>
      </c>
      <c r="K43" s="754"/>
    </row>
    <row r="44" spans="1:15" ht="16.5" customHeight="1">
      <c r="A44" s="1279"/>
      <c r="B44" s="1275" t="s">
        <v>551</v>
      </c>
      <c r="C44" s="1269" t="s">
        <v>539</v>
      </c>
      <c r="D44" s="1270"/>
      <c r="E44" s="1270"/>
      <c r="F44" s="1271"/>
      <c r="G44" s="716">
        <f t="shared" si="0"/>
        <v>5103857258.3374996</v>
      </c>
      <c r="H44" s="791">
        <f>'용역원가(24년)'!H46</f>
        <v>1618987235</v>
      </c>
      <c r="I44" s="791">
        <f>H44*(1+$M$44)</f>
        <v>1699936596.75</v>
      </c>
      <c r="J44" s="791">
        <f>I44*(1+$M$44)</f>
        <v>1784933426.5875001</v>
      </c>
      <c r="K44" s="754"/>
      <c r="M44" s="1131">
        <v>0.05</v>
      </c>
    </row>
    <row r="45" spans="1:15" ht="16.5" customHeight="1">
      <c r="A45" s="1279"/>
      <c r="B45" s="1276"/>
      <c r="C45" s="1269" t="s">
        <v>540</v>
      </c>
      <c r="D45" s="1270"/>
      <c r="E45" s="1270"/>
      <c r="F45" s="1271"/>
      <c r="G45" s="716">
        <f t="shared" si="0"/>
        <v>131101830</v>
      </c>
      <c r="H45" s="791">
        <f>'용역원가(24년)'!H47</f>
        <v>43700610</v>
      </c>
      <c r="I45" s="791">
        <f t="shared" si="1"/>
        <v>43700610</v>
      </c>
      <c r="J45" s="791">
        <f t="shared" si="2"/>
        <v>43700610</v>
      </c>
      <c r="K45" s="754"/>
    </row>
    <row r="46" spans="1:15" ht="16.5" customHeight="1">
      <c r="A46" s="1279"/>
      <c r="B46" s="1276"/>
      <c r="C46" s="1269" t="s">
        <v>541</v>
      </c>
      <c r="D46" s="1270"/>
      <c r="E46" s="1270"/>
      <c r="F46" s="1271"/>
      <c r="G46" s="716">
        <f t="shared" si="0"/>
        <v>209962500</v>
      </c>
      <c r="H46" s="791">
        <f>'용역원가(24년)'!H48</f>
        <v>69987500</v>
      </c>
      <c r="I46" s="791">
        <f t="shared" si="1"/>
        <v>69987500</v>
      </c>
      <c r="J46" s="791">
        <f t="shared" si="2"/>
        <v>69987500</v>
      </c>
      <c r="K46" s="754"/>
    </row>
    <row r="47" spans="1:15" ht="16.5" customHeight="1">
      <c r="A47" s="1279"/>
      <c r="B47" s="1277"/>
      <c r="C47" s="1269" t="s">
        <v>546</v>
      </c>
      <c r="D47" s="1270"/>
      <c r="E47" s="1270"/>
      <c r="F47" s="1271"/>
      <c r="G47" s="716">
        <f t="shared" si="0"/>
        <v>5444921575.3374996</v>
      </c>
      <c r="H47" s="791">
        <f>'용역원가(24년)'!H49</f>
        <v>1732675332</v>
      </c>
      <c r="I47" s="791">
        <f>SUM(I44:I46)</f>
        <v>1813624706.75</v>
      </c>
      <c r="J47" s="791">
        <f>SUM(J44:J46)</f>
        <v>1898621536.5875001</v>
      </c>
      <c r="K47" s="754"/>
    </row>
    <row r="48" spans="1:15" ht="16.5" customHeight="1">
      <c r="A48" s="1280"/>
      <c r="B48" s="1266" t="s">
        <v>524</v>
      </c>
      <c r="C48" s="1266"/>
      <c r="D48" s="1266"/>
      <c r="E48" s="1266"/>
      <c r="F48" s="1267"/>
      <c r="G48" s="716">
        <f t="shared" si="0"/>
        <v>8080969357.5407</v>
      </c>
      <c r="H48" s="791">
        <f>'용역원가(24년)'!H50</f>
        <v>2644724580</v>
      </c>
      <c r="I48" s="791">
        <f>I43+I47</f>
        <v>2669573973.8515997</v>
      </c>
      <c r="J48" s="791">
        <f>J43+J47</f>
        <v>2766670803.6891003</v>
      </c>
      <c r="K48" s="754"/>
    </row>
    <row r="49" spans="1:13" ht="16.5" customHeight="1">
      <c r="A49" s="1268" t="s">
        <v>529</v>
      </c>
      <c r="B49" s="1266"/>
      <c r="C49" s="1266"/>
      <c r="D49" s="1266"/>
      <c r="E49" s="1266"/>
      <c r="F49" s="1267"/>
      <c r="G49" s="716">
        <f t="shared" si="0"/>
        <v>13486280000</v>
      </c>
      <c r="H49" s="791">
        <f>'용역원가(24년)'!H51</f>
        <v>4446495000</v>
      </c>
      <c r="I49" s="791">
        <f>ROUNDDOWN(I32+I48,-3)</f>
        <v>4471344000</v>
      </c>
      <c r="J49" s="791">
        <f>ROUNDDOWN(J32+J48,-3)</f>
        <v>4568441000</v>
      </c>
      <c r="K49" s="754"/>
      <c r="M49" s="790">
        <f>(I49-H49)*3</f>
        <v>74547000</v>
      </c>
    </row>
  </sheetData>
  <mergeCells count="46">
    <mergeCell ref="C12:F12"/>
    <mergeCell ref="B13:B26"/>
    <mergeCell ref="C13:C19"/>
    <mergeCell ref="A1:K1"/>
    <mergeCell ref="K3:K4"/>
    <mergeCell ref="D7:F7"/>
    <mergeCell ref="D8:F8"/>
    <mergeCell ref="B30:F30"/>
    <mergeCell ref="C20:F20"/>
    <mergeCell ref="C21:F21"/>
    <mergeCell ref="C22:F22"/>
    <mergeCell ref="C23:F23"/>
    <mergeCell ref="C24:F24"/>
    <mergeCell ref="C25:F25"/>
    <mergeCell ref="C26:F26"/>
    <mergeCell ref="B27:F27"/>
    <mergeCell ref="B28:F28"/>
    <mergeCell ref="B29:F29"/>
    <mergeCell ref="B31:F31"/>
    <mergeCell ref="B32:F32"/>
    <mergeCell ref="A33:A48"/>
    <mergeCell ref="B33:B43"/>
    <mergeCell ref="C33:F33"/>
    <mergeCell ref="C34:F34"/>
    <mergeCell ref="C35:F35"/>
    <mergeCell ref="C36:F36"/>
    <mergeCell ref="C37:F37"/>
    <mergeCell ref="C38:F38"/>
    <mergeCell ref="A5:A32"/>
    <mergeCell ref="B5:B12"/>
    <mergeCell ref="C5:F5"/>
    <mergeCell ref="C6:C9"/>
    <mergeCell ref="C10:F10"/>
    <mergeCell ref="C11:F11"/>
    <mergeCell ref="B48:F48"/>
    <mergeCell ref="A49:F49"/>
    <mergeCell ref="C39:F39"/>
    <mergeCell ref="C40:F40"/>
    <mergeCell ref="C41:F41"/>
    <mergeCell ref="C42:F42"/>
    <mergeCell ref="C43:F43"/>
    <mergeCell ref="B44:B47"/>
    <mergeCell ref="C44:F44"/>
    <mergeCell ref="C45:F45"/>
    <mergeCell ref="C46:F46"/>
    <mergeCell ref="C47:F47"/>
  </mergeCells>
  <phoneticPr fontId="3" type="noConversion"/>
  <pageMargins left="0.59055118110236227" right="0.39370078740157483" top="0.59055118110236227" bottom="0.59055118110236227" header="0.19685039370078741" footer="0.19685039370078741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V32"/>
  <sheetViews>
    <sheetView view="pageBreakPreview" zoomScaleNormal="100" zoomScaleSheetLayoutView="100" workbookViewId="0">
      <selection activeCell="AI26" sqref="AI26"/>
    </sheetView>
  </sheetViews>
  <sheetFormatPr defaultColWidth="3.77734375" defaultRowHeight="20.25" customHeight="1"/>
  <cols>
    <col min="1" max="5" width="3.77734375" style="722" customWidth="1"/>
    <col min="6" max="6" width="5.44140625" style="722" customWidth="1"/>
    <col min="7" max="9" width="3.77734375" style="722" customWidth="1"/>
    <col min="10" max="10" width="4.33203125" style="722" customWidth="1"/>
    <col min="11" max="13" width="3.77734375" style="722" customWidth="1"/>
    <col min="14" max="18" width="4.33203125" style="722" customWidth="1"/>
    <col min="19" max="33" width="3.77734375" style="722" customWidth="1"/>
    <col min="34" max="34" width="18.21875" style="723" customWidth="1"/>
    <col min="35" max="38" width="3.77734375" style="722"/>
    <col min="39" max="39" width="20.33203125" style="722" bestFit="1" customWidth="1"/>
    <col min="40" max="16384" width="3.77734375" style="722"/>
  </cols>
  <sheetData>
    <row r="1" spans="1:256" ht="18" customHeight="1">
      <c r="A1" s="1297" t="s">
        <v>809</v>
      </c>
      <c r="B1" s="1297"/>
      <c r="C1" s="1297"/>
      <c r="D1" s="1297"/>
      <c r="E1" s="1297"/>
      <c r="F1" s="1297"/>
      <c r="G1" s="1297"/>
      <c r="H1" s="1297"/>
      <c r="I1" s="1297"/>
      <c r="J1" s="1297"/>
      <c r="K1" s="1297"/>
      <c r="L1" s="1297"/>
      <c r="M1" s="1297"/>
      <c r="N1" s="1297"/>
      <c r="O1" s="1297"/>
      <c r="P1" s="1297"/>
      <c r="Q1" s="1297"/>
      <c r="R1" s="1297"/>
      <c r="S1" s="1297"/>
      <c r="T1" s="1297"/>
      <c r="U1" s="1297"/>
      <c r="V1" s="1297"/>
      <c r="W1" s="1297"/>
      <c r="X1" s="1297"/>
      <c r="Y1" s="1297"/>
      <c r="Z1" s="1297"/>
      <c r="AA1" s="1297"/>
      <c r="AB1" s="1297"/>
      <c r="AC1" s="1297"/>
    </row>
    <row r="2" spans="1:256" ht="18" customHeight="1" thickBot="1">
      <c r="A2" s="1298"/>
      <c r="B2" s="1298"/>
      <c r="C2" s="1298"/>
      <c r="D2" s="1298"/>
      <c r="E2" s="1298"/>
      <c r="F2" s="1298"/>
      <c r="G2" s="1298"/>
      <c r="H2" s="1298"/>
      <c r="I2" s="1298"/>
      <c r="J2" s="1298"/>
      <c r="K2" s="1298"/>
      <c r="L2" s="1298"/>
      <c r="M2" s="1298"/>
      <c r="N2" s="1298"/>
      <c r="O2" s="1298"/>
      <c r="P2" s="1298"/>
      <c r="Q2" s="1298"/>
      <c r="R2" s="1298"/>
      <c r="S2" s="1298"/>
      <c r="T2" s="1298"/>
      <c r="U2" s="1298"/>
      <c r="V2" s="1298"/>
      <c r="W2" s="1298"/>
      <c r="X2" s="1298"/>
      <c r="Y2" s="1298"/>
      <c r="Z2" s="1298"/>
      <c r="AA2" s="1298"/>
      <c r="AB2" s="1298"/>
      <c r="AC2" s="1298"/>
    </row>
    <row r="3" spans="1:256" ht="20.25" customHeight="1">
      <c r="A3" s="724"/>
      <c r="B3" s="725"/>
      <c r="C3" s="725"/>
      <c r="D3" s="725"/>
      <c r="E3" s="725"/>
      <c r="F3" s="725"/>
      <c r="G3" s="725"/>
      <c r="H3" s="725"/>
      <c r="I3" s="725"/>
      <c r="J3" s="1299" t="s">
        <v>797</v>
      </c>
      <c r="K3" s="1300"/>
      <c r="L3" s="1300"/>
      <c r="M3" s="1301"/>
      <c r="N3" s="1299" t="s">
        <v>798</v>
      </c>
      <c r="O3" s="1300"/>
      <c r="P3" s="1300"/>
      <c r="Q3" s="1301"/>
      <c r="R3" s="1299" t="s">
        <v>799</v>
      </c>
      <c r="S3" s="1300"/>
      <c r="T3" s="1300"/>
      <c r="U3" s="1301"/>
      <c r="V3" s="1300" t="s">
        <v>800</v>
      </c>
      <c r="W3" s="1300"/>
      <c r="X3" s="1300"/>
      <c r="Y3" s="1301"/>
      <c r="Z3" s="1300" t="s">
        <v>801</v>
      </c>
      <c r="AA3" s="1300"/>
      <c r="AB3" s="1300"/>
      <c r="AC3" s="1302"/>
    </row>
    <row r="4" spans="1:256" ht="20.25" customHeight="1">
      <c r="A4" s="726" t="s">
        <v>860</v>
      </c>
      <c r="J4" s="1303"/>
      <c r="K4" s="1304"/>
      <c r="L4" s="1304"/>
      <c r="M4" s="1305"/>
      <c r="N4" s="1303"/>
      <c r="O4" s="1304"/>
      <c r="P4" s="1304"/>
      <c r="Q4" s="1305"/>
      <c r="R4" s="1303"/>
      <c r="S4" s="1304"/>
      <c r="T4" s="1304"/>
      <c r="U4" s="1305"/>
      <c r="V4" s="1304"/>
      <c r="W4" s="1304"/>
      <c r="X4" s="1304"/>
      <c r="Y4" s="1305"/>
      <c r="Z4" s="1304"/>
      <c r="AA4" s="1304"/>
      <c r="AB4" s="1304"/>
      <c r="AC4" s="1309"/>
    </row>
    <row r="5" spans="1:256" ht="20.25" customHeight="1">
      <c r="A5" s="727"/>
      <c r="B5" s="728"/>
      <c r="C5" s="728"/>
      <c r="D5" s="728"/>
      <c r="E5" s="728"/>
      <c r="F5" s="728"/>
      <c r="G5" s="728"/>
      <c r="H5" s="728"/>
      <c r="I5" s="728"/>
      <c r="J5" s="1306"/>
      <c r="K5" s="1307"/>
      <c r="L5" s="1307"/>
      <c r="M5" s="1308"/>
      <c r="N5" s="1306"/>
      <c r="O5" s="1307"/>
      <c r="P5" s="1307"/>
      <c r="Q5" s="1308"/>
      <c r="R5" s="1306"/>
      <c r="S5" s="1307"/>
      <c r="T5" s="1307"/>
      <c r="U5" s="1308"/>
      <c r="V5" s="1307"/>
      <c r="W5" s="1307"/>
      <c r="X5" s="1307"/>
      <c r="Y5" s="1308"/>
      <c r="Z5" s="1307"/>
      <c r="AA5" s="1307"/>
      <c r="AB5" s="1307"/>
      <c r="AC5" s="1310"/>
    </row>
    <row r="6" spans="1:256" ht="20.25" customHeight="1">
      <c r="A6" s="729"/>
      <c r="AC6" s="730"/>
    </row>
    <row r="7" spans="1:256" ht="29.25" customHeight="1">
      <c r="A7" s="1311" t="str">
        <f>AE12</f>
        <v>파주시 운정 자동집하시설 운영비용 원가산정용역</v>
      </c>
      <c r="B7" s="1312"/>
      <c r="C7" s="1312"/>
      <c r="D7" s="1312"/>
      <c r="E7" s="1312"/>
      <c r="F7" s="1312"/>
      <c r="G7" s="1312"/>
      <c r="H7" s="1312"/>
      <c r="I7" s="1312"/>
      <c r="J7" s="1312"/>
      <c r="K7" s="1312"/>
      <c r="L7" s="1312"/>
      <c r="M7" s="1312"/>
      <c r="N7" s="1312"/>
      <c r="O7" s="1312"/>
      <c r="P7" s="1312"/>
      <c r="Q7" s="1312"/>
      <c r="R7" s="1312"/>
      <c r="S7" s="1312"/>
      <c r="T7" s="1312"/>
      <c r="U7" s="1312"/>
      <c r="V7" s="1312"/>
      <c r="W7" s="1312"/>
      <c r="X7" s="1312"/>
      <c r="Y7" s="1312"/>
      <c r="Z7" s="1312"/>
      <c r="AA7" s="1312"/>
      <c r="AB7" s="1312"/>
      <c r="AC7" s="1313"/>
    </row>
    <row r="8" spans="1:256" ht="20.100000000000001" customHeight="1">
      <c r="A8" s="683"/>
      <c r="B8" s="685"/>
      <c r="C8" s="685"/>
      <c r="D8" s="685"/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  <c r="Q8" s="685"/>
      <c r="R8" s="685"/>
      <c r="S8" s="685"/>
      <c r="T8" s="685"/>
      <c r="U8" s="685"/>
      <c r="V8" s="685"/>
      <c r="W8" s="685"/>
      <c r="X8" s="685"/>
      <c r="Y8" s="685"/>
      <c r="Z8" s="685"/>
      <c r="AA8" s="685"/>
      <c r="AB8" s="685"/>
      <c r="AC8" s="731"/>
      <c r="AD8" s="685"/>
      <c r="AE8" s="685"/>
      <c r="AF8" s="685"/>
      <c r="AG8" s="685"/>
      <c r="AH8" s="732"/>
      <c r="AI8" s="685"/>
      <c r="AJ8" s="685"/>
      <c r="AK8" s="685"/>
      <c r="AL8" s="685"/>
      <c r="AM8" s="685"/>
      <c r="AN8" s="685"/>
      <c r="AO8" s="685"/>
      <c r="AP8" s="685"/>
      <c r="AQ8" s="685"/>
      <c r="AR8" s="685"/>
      <c r="AS8" s="685"/>
      <c r="AT8" s="685"/>
      <c r="AU8" s="685"/>
      <c r="AV8" s="685"/>
      <c r="AW8" s="685"/>
      <c r="AX8" s="685"/>
      <c r="AY8" s="685"/>
      <c r="AZ8" s="685"/>
      <c r="BA8" s="685"/>
      <c r="BB8" s="685"/>
      <c r="BC8" s="685"/>
      <c r="BD8" s="685"/>
      <c r="BE8" s="685"/>
      <c r="BF8" s="685"/>
      <c r="BG8" s="685"/>
      <c r="BH8" s="685"/>
      <c r="BI8" s="685"/>
      <c r="BJ8" s="685"/>
      <c r="BK8" s="685"/>
      <c r="BL8" s="685"/>
      <c r="BM8" s="685"/>
      <c r="BN8" s="685"/>
      <c r="BO8" s="685"/>
      <c r="BP8" s="685"/>
      <c r="BQ8" s="685"/>
      <c r="BR8" s="685"/>
      <c r="BS8" s="685"/>
      <c r="BT8" s="685"/>
      <c r="BU8" s="685"/>
      <c r="BV8" s="685"/>
      <c r="BW8" s="685"/>
      <c r="BX8" s="685"/>
      <c r="BY8" s="685"/>
      <c r="BZ8" s="685"/>
      <c r="CA8" s="685"/>
      <c r="CB8" s="685"/>
      <c r="CC8" s="685"/>
      <c r="CD8" s="685"/>
      <c r="CE8" s="685"/>
      <c r="CF8" s="685"/>
      <c r="CG8" s="685"/>
      <c r="CH8" s="685"/>
      <c r="CI8" s="685"/>
      <c r="CJ8" s="685"/>
      <c r="CK8" s="685"/>
      <c r="CL8" s="685"/>
      <c r="CM8" s="685"/>
      <c r="CN8" s="685"/>
      <c r="CO8" s="685"/>
      <c r="CP8" s="685"/>
      <c r="CQ8" s="685"/>
      <c r="CR8" s="685"/>
      <c r="CS8" s="685"/>
      <c r="CT8" s="685"/>
      <c r="CU8" s="685"/>
      <c r="CV8" s="685"/>
      <c r="CW8" s="685"/>
      <c r="CX8" s="685"/>
      <c r="CY8" s="685"/>
      <c r="CZ8" s="685"/>
      <c r="DA8" s="685"/>
      <c r="DB8" s="685"/>
      <c r="DC8" s="685"/>
      <c r="DD8" s="685"/>
      <c r="DE8" s="685"/>
      <c r="DF8" s="685"/>
      <c r="DG8" s="685"/>
      <c r="DH8" s="685"/>
      <c r="DI8" s="685"/>
      <c r="DJ8" s="685"/>
      <c r="DK8" s="685"/>
      <c r="DL8" s="685"/>
      <c r="DM8" s="685"/>
      <c r="DN8" s="685"/>
      <c r="DO8" s="685"/>
      <c r="DP8" s="685"/>
      <c r="DQ8" s="685"/>
      <c r="DR8" s="685"/>
      <c r="DS8" s="685"/>
      <c r="DT8" s="685"/>
      <c r="DU8" s="685"/>
      <c r="DV8" s="685"/>
      <c r="DW8" s="685"/>
      <c r="DX8" s="685"/>
      <c r="DY8" s="685"/>
      <c r="DZ8" s="685"/>
      <c r="EA8" s="685"/>
      <c r="EB8" s="685"/>
      <c r="EC8" s="685"/>
      <c r="ED8" s="685"/>
      <c r="EE8" s="685"/>
      <c r="EF8" s="685"/>
      <c r="EG8" s="685"/>
      <c r="EH8" s="685"/>
      <c r="EI8" s="685"/>
      <c r="EJ8" s="685"/>
      <c r="EK8" s="685"/>
      <c r="EL8" s="685"/>
      <c r="EM8" s="685"/>
      <c r="EN8" s="685"/>
      <c r="EO8" s="685"/>
      <c r="EP8" s="685"/>
      <c r="EQ8" s="685"/>
      <c r="ER8" s="685"/>
      <c r="ES8" s="685"/>
      <c r="ET8" s="685"/>
      <c r="EU8" s="685"/>
      <c r="EV8" s="685"/>
      <c r="EW8" s="685"/>
      <c r="EX8" s="685"/>
      <c r="EY8" s="685"/>
      <c r="EZ8" s="685"/>
      <c r="FA8" s="685"/>
      <c r="FB8" s="685"/>
      <c r="FC8" s="685"/>
      <c r="FD8" s="685"/>
      <c r="FE8" s="685"/>
      <c r="FF8" s="685"/>
      <c r="FG8" s="685"/>
      <c r="FH8" s="685"/>
      <c r="FI8" s="685"/>
      <c r="FJ8" s="685"/>
      <c r="FK8" s="685"/>
      <c r="FL8" s="685"/>
      <c r="FM8" s="685"/>
      <c r="FN8" s="685"/>
      <c r="FO8" s="685"/>
      <c r="FP8" s="685"/>
      <c r="FQ8" s="685"/>
      <c r="FR8" s="685"/>
      <c r="FS8" s="685"/>
      <c r="FT8" s="685"/>
      <c r="FU8" s="685"/>
      <c r="FV8" s="685"/>
      <c r="FW8" s="685"/>
      <c r="FX8" s="685"/>
      <c r="FY8" s="685"/>
      <c r="FZ8" s="685"/>
      <c r="GA8" s="685"/>
      <c r="GB8" s="685"/>
      <c r="GC8" s="685"/>
      <c r="GD8" s="685"/>
      <c r="GE8" s="685"/>
      <c r="GF8" s="685"/>
      <c r="GG8" s="685"/>
      <c r="GH8" s="685"/>
      <c r="GI8" s="685"/>
      <c r="GJ8" s="685"/>
      <c r="GK8" s="685"/>
      <c r="GL8" s="685"/>
      <c r="GM8" s="685"/>
      <c r="GN8" s="685"/>
      <c r="GO8" s="685"/>
      <c r="GP8" s="685"/>
      <c r="GQ8" s="685"/>
      <c r="GR8" s="685"/>
      <c r="GS8" s="685"/>
      <c r="GT8" s="685"/>
      <c r="GU8" s="685"/>
      <c r="GV8" s="685"/>
      <c r="GW8" s="685"/>
      <c r="GX8" s="685"/>
      <c r="GY8" s="685"/>
      <c r="GZ8" s="685"/>
      <c r="HA8" s="685"/>
      <c r="HB8" s="685"/>
      <c r="HC8" s="685"/>
      <c r="HD8" s="685"/>
      <c r="HE8" s="685"/>
      <c r="HF8" s="685"/>
      <c r="HG8" s="685"/>
      <c r="HH8" s="685"/>
      <c r="HI8" s="685"/>
      <c r="HJ8" s="685"/>
      <c r="HK8" s="685"/>
      <c r="HL8" s="685"/>
      <c r="HM8" s="685"/>
      <c r="HN8" s="685"/>
      <c r="HO8" s="685"/>
      <c r="HP8" s="685"/>
      <c r="HQ8" s="685"/>
      <c r="HR8" s="685"/>
      <c r="HS8" s="685"/>
      <c r="HT8" s="685"/>
      <c r="HU8" s="685"/>
      <c r="HV8" s="685"/>
      <c r="HW8" s="685"/>
      <c r="HX8" s="685"/>
      <c r="HY8" s="685"/>
      <c r="HZ8" s="685"/>
      <c r="IA8" s="685"/>
      <c r="IB8" s="685"/>
      <c r="IC8" s="685"/>
      <c r="ID8" s="685"/>
      <c r="IE8" s="685"/>
      <c r="IF8" s="685"/>
      <c r="IG8" s="685"/>
      <c r="IH8" s="685"/>
      <c r="II8" s="685"/>
      <c r="IJ8" s="685"/>
      <c r="IK8" s="685"/>
      <c r="IL8" s="685"/>
      <c r="IM8" s="685"/>
      <c r="IN8" s="685"/>
      <c r="IO8" s="685"/>
      <c r="IP8" s="685"/>
      <c r="IQ8" s="685"/>
      <c r="IR8" s="685"/>
      <c r="IS8" s="685"/>
      <c r="IT8" s="685"/>
      <c r="IU8" s="685"/>
      <c r="IV8" s="685"/>
    </row>
    <row r="9" spans="1:256" ht="20.100000000000001" customHeight="1">
      <c r="A9" s="683"/>
      <c r="B9" s="685"/>
      <c r="C9" s="685"/>
      <c r="D9" s="685"/>
      <c r="E9" s="685"/>
      <c r="F9" s="685" t="s">
        <v>803</v>
      </c>
      <c r="G9" s="685"/>
      <c r="H9" s="685"/>
      <c r="I9" s="685" t="str">
        <f>AE12&amp;"   :   1식"</f>
        <v>파주시 운정 자동집하시설 운영비용 원가산정용역   :   1식</v>
      </c>
      <c r="J9" s="685"/>
      <c r="K9" s="685"/>
      <c r="L9" s="685"/>
      <c r="M9" s="685"/>
      <c r="N9" s="685"/>
      <c r="O9" s="685"/>
      <c r="P9" s="685"/>
      <c r="Q9" s="685"/>
      <c r="R9" s="685"/>
      <c r="S9" s="685"/>
      <c r="T9" s="685"/>
      <c r="U9" s="685"/>
      <c r="V9" s="685"/>
      <c r="W9" s="685"/>
      <c r="X9" s="685"/>
      <c r="Y9" s="685"/>
      <c r="Z9" s="685"/>
      <c r="AA9" s="685"/>
      <c r="AB9" s="685"/>
      <c r="AC9" s="731"/>
      <c r="AD9" s="685"/>
      <c r="AE9" s="685" t="s">
        <v>802</v>
      </c>
      <c r="AF9" s="685"/>
      <c r="AG9" s="685"/>
      <c r="AH9" s="733"/>
      <c r="AI9" s="685"/>
      <c r="AJ9" s="685"/>
      <c r="AK9" s="685"/>
      <c r="AL9" s="685"/>
      <c r="AM9" s="685"/>
      <c r="AN9" s="685"/>
      <c r="AO9" s="685"/>
      <c r="AP9" s="685"/>
      <c r="AQ9" s="685"/>
      <c r="AR9" s="685"/>
      <c r="AS9" s="685"/>
      <c r="AT9" s="685"/>
      <c r="AU9" s="685"/>
      <c r="AV9" s="685"/>
      <c r="AW9" s="685"/>
      <c r="AX9" s="685"/>
      <c r="AY9" s="685"/>
      <c r="AZ9" s="685"/>
      <c r="BA9" s="685"/>
      <c r="BB9" s="685"/>
      <c r="BC9" s="685"/>
      <c r="BD9" s="685"/>
      <c r="BE9" s="685"/>
      <c r="BF9" s="685"/>
      <c r="BG9" s="685"/>
      <c r="BH9" s="685"/>
      <c r="BI9" s="685"/>
      <c r="BJ9" s="685"/>
      <c r="BK9" s="685"/>
      <c r="BL9" s="685"/>
      <c r="BM9" s="685"/>
      <c r="BN9" s="685"/>
      <c r="BO9" s="685"/>
      <c r="BP9" s="685"/>
      <c r="BQ9" s="685"/>
      <c r="BR9" s="685"/>
      <c r="BS9" s="685"/>
      <c r="BT9" s="685"/>
      <c r="BU9" s="685"/>
      <c r="BV9" s="685"/>
      <c r="BW9" s="685"/>
      <c r="BX9" s="685"/>
      <c r="BY9" s="685"/>
      <c r="BZ9" s="685"/>
      <c r="CA9" s="685"/>
      <c r="CB9" s="685"/>
      <c r="CC9" s="685"/>
      <c r="CD9" s="685"/>
      <c r="CE9" s="685"/>
      <c r="CF9" s="685"/>
      <c r="CG9" s="685"/>
      <c r="CH9" s="685"/>
      <c r="CI9" s="685"/>
      <c r="CJ9" s="685"/>
      <c r="CK9" s="685"/>
      <c r="CL9" s="685"/>
      <c r="CM9" s="685"/>
      <c r="CN9" s="685"/>
      <c r="CO9" s="685"/>
      <c r="CP9" s="685"/>
      <c r="CQ9" s="685"/>
      <c r="CR9" s="685"/>
      <c r="CS9" s="685"/>
      <c r="CT9" s="685"/>
      <c r="CU9" s="685"/>
      <c r="CV9" s="685"/>
      <c r="CW9" s="685"/>
      <c r="CX9" s="685"/>
      <c r="CY9" s="685"/>
      <c r="CZ9" s="685"/>
      <c r="DA9" s="685"/>
      <c r="DB9" s="685"/>
      <c r="DC9" s="685"/>
      <c r="DD9" s="685"/>
      <c r="DE9" s="685"/>
      <c r="DF9" s="685"/>
      <c r="DG9" s="685"/>
      <c r="DH9" s="685"/>
      <c r="DI9" s="685"/>
      <c r="DJ9" s="685"/>
      <c r="DK9" s="685"/>
      <c r="DL9" s="685"/>
      <c r="DM9" s="685"/>
      <c r="DN9" s="685"/>
      <c r="DO9" s="685"/>
      <c r="DP9" s="685"/>
      <c r="DQ9" s="685"/>
      <c r="DR9" s="685"/>
      <c r="DS9" s="685"/>
      <c r="DT9" s="685"/>
      <c r="DU9" s="685"/>
      <c r="DV9" s="685"/>
      <c r="DW9" s="685"/>
      <c r="DX9" s="685"/>
      <c r="DY9" s="685"/>
      <c r="DZ9" s="685"/>
      <c r="EA9" s="685"/>
      <c r="EB9" s="685"/>
      <c r="EC9" s="685"/>
      <c r="ED9" s="685"/>
      <c r="EE9" s="685"/>
      <c r="EF9" s="685"/>
      <c r="EG9" s="685"/>
      <c r="EH9" s="685"/>
      <c r="EI9" s="685"/>
      <c r="EJ9" s="685"/>
      <c r="EK9" s="685"/>
      <c r="EL9" s="685"/>
      <c r="EM9" s="685"/>
      <c r="EN9" s="685"/>
      <c r="EO9" s="685"/>
      <c r="EP9" s="685"/>
      <c r="EQ9" s="685"/>
      <c r="ER9" s="685"/>
      <c r="ES9" s="685"/>
      <c r="ET9" s="685"/>
      <c r="EU9" s="685"/>
      <c r="EV9" s="685"/>
      <c r="EW9" s="685"/>
      <c r="EX9" s="685"/>
      <c r="EY9" s="685"/>
      <c r="EZ9" s="685"/>
      <c r="FA9" s="685"/>
      <c r="FB9" s="685"/>
      <c r="FC9" s="685"/>
      <c r="FD9" s="685"/>
      <c r="FE9" s="685"/>
      <c r="FF9" s="685"/>
      <c r="FG9" s="685"/>
      <c r="FH9" s="685"/>
      <c r="FI9" s="685"/>
      <c r="FJ9" s="685"/>
      <c r="FK9" s="685"/>
      <c r="FL9" s="685"/>
      <c r="FM9" s="685"/>
      <c r="FN9" s="685"/>
      <c r="FO9" s="685"/>
      <c r="FP9" s="685"/>
      <c r="FQ9" s="685"/>
      <c r="FR9" s="685"/>
      <c r="FS9" s="685"/>
      <c r="FT9" s="685"/>
      <c r="FU9" s="685"/>
      <c r="FV9" s="685"/>
      <c r="FW9" s="685"/>
      <c r="FX9" s="685"/>
      <c r="FY9" s="685"/>
      <c r="FZ9" s="685"/>
      <c r="GA9" s="685"/>
      <c r="GB9" s="685"/>
      <c r="GC9" s="685"/>
      <c r="GD9" s="685"/>
      <c r="GE9" s="685"/>
      <c r="GF9" s="685"/>
      <c r="GG9" s="685"/>
      <c r="GH9" s="685"/>
      <c r="GI9" s="685"/>
      <c r="GJ9" s="685"/>
      <c r="GK9" s="685"/>
      <c r="GL9" s="685"/>
      <c r="GM9" s="685"/>
      <c r="GN9" s="685"/>
      <c r="GO9" s="685"/>
      <c r="GP9" s="685"/>
      <c r="GQ9" s="685"/>
      <c r="GR9" s="685"/>
      <c r="GS9" s="685"/>
      <c r="GT9" s="685"/>
      <c r="GU9" s="685"/>
      <c r="GV9" s="685"/>
      <c r="GW9" s="685"/>
      <c r="GX9" s="685"/>
      <c r="GY9" s="685"/>
      <c r="GZ9" s="685"/>
      <c r="HA9" s="685"/>
      <c r="HB9" s="685"/>
      <c r="HC9" s="685"/>
      <c r="HD9" s="685"/>
      <c r="HE9" s="685"/>
      <c r="HF9" s="685"/>
      <c r="HG9" s="685"/>
      <c r="HH9" s="685"/>
      <c r="HI9" s="685"/>
      <c r="HJ9" s="685"/>
      <c r="HK9" s="685"/>
      <c r="HL9" s="685"/>
      <c r="HM9" s="685"/>
      <c r="HN9" s="685"/>
      <c r="HO9" s="685"/>
      <c r="HP9" s="685"/>
      <c r="HQ9" s="685"/>
      <c r="HR9" s="685"/>
      <c r="HS9" s="685"/>
      <c r="HT9" s="685"/>
      <c r="HU9" s="685"/>
      <c r="HV9" s="685"/>
      <c r="HW9" s="685"/>
      <c r="HX9" s="685"/>
      <c r="HY9" s="685"/>
      <c r="HZ9" s="685"/>
      <c r="IA9" s="685"/>
      <c r="IB9" s="685"/>
      <c r="IC9" s="685"/>
      <c r="ID9" s="685"/>
      <c r="IE9" s="685"/>
      <c r="IF9" s="685"/>
      <c r="IG9" s="685"/>
      <c r="IH9" s="685"/>
      <c r="II9" s="685"/>
      <c r="IJ9" s="685"/>
      <c r="IK9" s="685"/>
      <c r="IL9" s="685"/>
      <c r="IM9" s="685"/>
      <c r="IN9" s="685"/>
      <c r="IO9" s="685"/>
      <c r="IP9" s="685"/>
      <c r="IQ9" s="685"/>
      <c r="IR9" s="685"/>
      <c r="IS9" s="685"/>
      <c r="IT9" s="685"/>
      <c r="IU9" s="685"/>
      <c r="IV9" s="685"/>
    </row>
    <row r="10" spans="1:256" ht="20.100000000000001" customHeight="1">
      <c r="A10" s="683"/>
      <c r="B10" s="685"/>
      <c r="C10" s="685"/>
      <c r="D10" s="685"/>
      <c r="E10" s="685"/>
      <c r="G10" s="685"/>
      <c r="H10" s="685"/>
      <c r="I10" s="685"/>
      <c r="J10" s="685"/>
      <c r="K10" s="685"/>
      <c r="L10" s="685"/>
      <c r="M10" s="685"/>
      <c r="N10" s="685"/>
      <c r="O10" s="685"/>
      <c r="P10" s="685"/>
      <c r="Q10" s="685"/>
      <c r="R10" s="685"/>
      <c r="S10" s="685"/>
      <c r="T10" s="685"/>
      <c r="U10" s="685"/>
      <c r="V10" s="685"/>
      <c r="W10" s="685"/>
      <c r="X10" s="685"/>
      <c r="Y10" s="685"/>
      <c r="Z10" s="685"/>
      <c r="AA10" s="685"/>
      <c r="AB10" s="685"/>
      <c r="AC10" s="731"/>
      <c r="AD10" s="685"/>
      <c r="AE10" s="1314" t="s">
        <v>811</v>
      </c>
      <c r="AF10" s="1315"/>
      <c r="AG10" s="1315"/>
      <c r="AH10" s="1315"/>
      <c r="AI10" s="1315"/>
      <c r="AJ10" s="1315"/>
      <c r="AK10" s="1315"/>
      <c r="AL10" s="685"/>
      <c r="AM10" s="685"/>
      <c r="AN10" s="685"/>
      <c r="AO10" s="685"/>
      <c r="AP10" s="685"/>
      <c r="AQ10" s="685"/>
      <c r="AR10" s="685"/>
      <c r="AS10" s="685"/>
      <c r="AT10" s="685"/>
      <c r="AU10" s="685"/>
      <c r="AV10" s="685"/>
      <c r="AW10" s="685"/>
      <c r="AX10" s="685"/>
      <c r="AY10" s="685"/>
      <c r="AZ10" s="685"/>
      <c r="BA10" s="685"/>
      <c r="BB10" s="685"/>
      <c r="BC10" s="685"/>
      <c r="BD10" s="685"/>
      <c r="BE10" s="685"/>
      <c r="BF10" s="685"/>
      <c r="BG10" s="685"/>
      <c r="BH10" s="685"/>
      <c r="BI10" s="685"/>
      <c r="BJ10" s="685"/>
      <c r="BK10" s="685"/>
      <c r="BL10" s="685"/>
      <c r="BM10" s="685"/>
      <c r="BN10" s="685"/>
      <c r="BO10" s="685"/>
      <c r="BP10" s="685"/>
      <c r="BQ10" s="685"/>
      <c r="BR10" s="685"/>
      <c r="BS10" s="685"/>
      <c r="BT10" s="685"/>
      <c r="BU10" s="685"/>
      <c r="BV10" s="685"/>
      <c r="BW10" s="685"/>
      <c r="BX10" s="685"/>
      <c r="BY10" s="685"/>
      <c r="BZ10" s="685"/>
      <c r="CA10" s="685"/>
      <c r="CB10" s="685"/>
      <c r="CC10" s="685"/>
      <c r="CD10" s="685"/>
      <c r="CE10" s="685"/>
      <c r="CF10" s="685"/>
      <c r="CG10" s="685"/>
      <c r="CH10" s="685"/>
      <c r="CI10" s="685"/>
      <c r="CJ10" s="685"/>
      <c r="CK10" s="685"/>
      <c r="CL10" s="685"/>
      <c r="CM10" s="685"/>
      <c r="CN10" s="685"/>
      <c r="CO10" s="685"/>
      <c r="CP10" s="685"/>
      <c r="CQ10" s="685"/>
      <c r="CR10" s="685"/>
      <c r="CS10" s="685"/>
      <c r="CT10" s="685"/>
      <c r="CU10" s="685"/>
      <c r="CV10" s="685"/>
      <c r="CW10" s="685"/>
      <c r="CX10" s="685"/>
      <c r="CY10" s="685"/>
      <c r="CZ10" s="685"/>
      <c r="DA10" s="685"/>
      <c r="DB10" s="685"/>
      <c r="DC10" s="685"/>
      <c r="DD10" s="685"/>
      <c r="DE10" s="685"/>
      <c r="DF10" s="685"/>
      <c r="DG10" s="685"/>
      <c r="DH10" s="685"/>
      <c r="DI10" s="685"/>
      <c r="DJ10" s="685"/>
      <c r="DK10" s="685"/>
      <c r="DL10" s="685"/>
      <c r="DM10" s="685"/>
      <c r="DN10" s="685"/>
      <c r="DO10" s="685"/>
      <c r="DP10" s="685"/>
      <c r="DQ10" s="685"/>
      <c r="DR10" s="685"/>
      <c r="DS10" s="685"/>
      <c r="DT10" s="685"/>
      <c r="DU10" s="685"/>
      <c r="DV10" s="685"/>
      <c r="DW10" s="685"/>
      <c r="DX10" s="685"/>
      <c r="DY10" s="685"/>
      <c r="DZ10" s="685"/>
      <c r="EA10" s="685"/>
      <c r="EB10" s="685"/>
      <c r="EC10" s="685"/>
      <c r="ED10" s="685"/>
      <c r="EE10" s="685"/>
      <c r="EF10" s="685"/>
      <c r="EG10" s="685"/>
      <c r="EH10" s="685"/>
      <c r="EI10" s="685"/>
      <c r="EJ10" s="685"/>
      <c r="EK10" s="685"/>
      <c r="EL10" s="685"/>
      <c r="EM10" s="685"/>
      <c r="EN10" s="685"/>
      <c r="EO10" s="685"/>
      <c r="EP10" s="685"/>
      <c r="EQ10" s="685"/>
      <c r="ER10" s="685"/>
      <c r="ES10" s="685"/>
      <c r="ET10" s="685"/>
      <c r="EU10" s="685"/>
      <c r="EV10" s="685"/>
      <c r="EW10" s="685"/>
      <c r="EX10" s="685"/>
      <c r="EY10" s="685"/>
      <c r="EZ10" s="685"/>
      <c r="FA10" s="685"/>
      <c r="FB10" s="685"/>
      <c r="FC10" s="685"/>
      <c r="FD10" s="685"/>
      <c r="FE10" s="685"/>
      <c r="FF10" s="685"/>
      <c r="FG10" s="685"/>
      <c r="FH10" s="685"/>
      <c r="FI10" s="685"/>
      <c r="FJ10" s="685"/>
      <c r="FK10" s="685"/>
      <c r="FL10" s="685"/>
      <c r="FM10" s="685"/>
      <c r="FN10" s="685"/>
      <c r="FO10" s="685"/>
      <c r="FP10" s="685"/>
      <c r="FQ10" s="685"/>
      <c r="FR10" s="685"/>
      <c r="FS10" s="685"/>
      <c r="FT10" s="685"/>
      <c r="FU10" s="685"/>
      <c r="FV10" s="685"/>
      <c r="FW10" s="685"/>
      <c r="FX10" s="685"/>
      <c r="FY10" s="685"/>
      <c r="FZ10" s="685"/>
      <c r="GA10" s="685"/>
      <c r="GB10" s="685"/>
      <c r="GC10" s="685"/>
      <c r="GD10" s="685"/>
      <c r="GE10" s="685"/>
      <c r="GF10" s="685"/>
      <c r="GG10" s="685"/>
      <c r="GH10" s="685"/>
      <c r="GI10" s="685"/>
      <c r="GJ10" s="685"/>
      <c r="GK10" s="685"/>
      <c r="GL10" s="685"/>
      <c r="GM10" s="685"/>
      <c r="GN10" s="685"/>
      <c r="GO10" s="685"/>
      <c r="GP10" s="685"/>
      <c r="GQ10" s="685"/>
      <c r="GR10" s="685"/>
      <c r="GS10" s="685"/>
      <c r="GT10" s="685"/>
      <c r="GU10" s="685"/>
      <c r="GV10" s="685"/>
      <c r="GW10" s="685"/>
      <c r="GX10" s="685"/>
      <c r="GY10" s="685"/>
      <c r="GZ10" s="685"/>
      <c r="HA10" s="685"/>
      <c r="HB10" s="685"/>
      <c r="HC10" s="685"/>
      <c r="HD10" s="685"/>
      <c r="HE10" s="685"/>
      <c r="HF10" s="685"/>
      <c r="HG10" s="685"/>
      <c r="HH10" s="685"/>
      <c r="HI10" s="685"/>
      <c r="HJ10" s="685"/>
      <c r="HK10" s="685"/>
      <c r="HL10" s="685"/>
      <c r="HM10" s="685"/>
      <c r="HN10" s="685"/>
      <c r="HO10" s="685"/>
      <c r="HP10" s="685"/>
      <c r="HQ10" s="685"/>
      <c r="HR10" s="685"/>
      <c r="HS10" s="685"/>
      <c r="HT10" s="685"/>
      <c r="HU10" s="685"/>
      <c r="HV10" s="685"/>
      <c r="HW10" s="685"/>
      <c r="HX10" s="685"/>
      <c r="HY10" s="685"/>
      <c r="HZ10" s="685"/>
      <c r="IA10" s="685"/>
      <c r="IB10" s="685"/>
      <c r="IC10" s="685"/>
      <c r="ID10" s="685"/>
      <c r="IE10" s="685"/>
      <c r="IF10" s="685"/>
      <c r="IG10" s="685"/>
      <c r="IH10" s="685"/>
      <c r="II10" s="685"/>
      <c r="IJ10" s="685"/>
      <c r="IK10" s="685"/>
      <c r="IL10" s="685"/>
      <c r="IM10" s="685"/>
      <c r="IN10" s="685"/>
      <c r="IO10" s="685"/>
      <c r="IP10" s="685"/>
      <c r="IQ10" s="685"/>
      <c r="IR10" s="685"/>
      <c r="IS10" s="685"/>
      <c r="IT10" s="685"/>
      <c r="IU10" s="685"/>
      <c r="IV10" s="685"/>
    </row>
    <row r="11" spans="1:256" ht="20.100000000000001" customHeight="1">
      <c r="A11" s="683"/>
      <c r="B11" s="685"/>
      <c r="C11" s="685"/>
      <c r="D11" s="685"/>
      <c r="E11" s="734" t="s">
        <v>804</v>
      </c>
      <c r="F11" s="734" t="s">
        <v>805</v>
      </c>
      <c r="G11" s="734"/>
      <c r="H11" s="734"/>
      <c r="I11" s="734"/>
      <c r="J11" s="735"/>
      <c r="K11" s="735" t="s">
        <v>806</v>
      </c>
      <c r="L11" s="1316">
        <f>차수별용역비!D13</f>
        <v>13486280000</v>
      </c>
      <c r="M11" s="1316"/>
      <c r="N11" s="1316"/>
      <c r="O11" s="1316"/>
      <c r="P11" s="1316"/>
      <c r="Q11" s="736" t="str">
        <f>"(금"&amp;(NUMBERSTRING(L11,1))&amp;"원)"</f>
        <v>(금일백삼십사억팔천육백이십팔만원)</v>
      </c>
      <c r="R11" s="736"/>
      <c r="S11" s="736"/>
      <c r="T11" s="736"/>
      <c r="U11" s="736"/>
      <c r="V11" s="736"/>
      <c r="W11" s="736"/>
      <c r="X11" s="736"/>
      <c r="Y11" s="736"/>
      <c r="Z11" s="685"/>
      <c r="AA11" s="685"/>
      <c r="AB11" s="685"/>
      <c r="AC11" s="731"/>
      <c r="AD11" s="685"/>
      <c r="AE11" s="685" t="s">
        <v>807</v>
      </c>
      <c r="AF11" s="685"/>
      <c r="AG11" s="685"/>
      <c r="AH11" s="733"/>
      <c r="AI11" s="685"/>
      <c r="AJ11" s="685"/>
      <c r="AK11" s="685"/>
      <c r="AL11" s="685"/>
      <c r="AM11" s="685"/>
      <c r="AN11" s="685"/>
      <c r="AO11" s="685"/>
      <c r="AP11" s="685"/>
      <c r="AQ11" s="685"/>
      <c r="AR11" s="685"/>
      <c r="AS11" s="685"/>
      <c r="AT11" s="685"/>
      <c r="AU11" s="685"/>
      <c r="AV11" s="685"/>
      <c r="AW11" s="685"/>
      <c r="AX11" s="685"/>
      <c r="AY11" s="685"/>
      <c r="AZ11" s="685"/>
      <c r="BA11" s="685"/>
      <c r="BB11" s="685"/>
      <c r="BC11" s="685"/>
      <c r="BD11" s="685"/>
      <c r="BE11" s="685"/>
      <c r="BF11" s="685"/>
      <c r="BG11" s="685"/>
      <c r="BH11" s="685"/>
      <c r="BI11" s="685"/>
      <c r="BJ11" s="685"/>
      <c r="BK11" s="685"/>
      <c r="BL11" s="685"/>
      <c r="BM11" s="685"/>
      <c r="BN11" s="685"/>
      <c r="BO11" s="685"/>
      <c r="BP11" s="685"/>
      <c r="BQ11" s="685"/>
      <c r="BR11" s="685"/>
      <c r="BS11" s="685"/>
      <c r="BT11" s="685"/>
      <c r="BU11" s="685"/>
      <c r="BV11" s="685"/>
      <c r="BW11" s="685"/>
      <c r="BX11" s="685"/>
      <c r="BY11" s="685"/>
      <c r="BZ11" s="685"/>
      <c r="CA11" s="685"/>
      <c r="CB11" s="685"/>
      <c r="CC11" s="685"/>
      <c r="CD11" s="685"/>
      <c r="CE11" s="685"/>
      <c r="CF11" s="685"/>
      <c r="CG11" s="685"/>
      <c r="CH11" s="685"/>
      <c r="CI11" s="685"/>
      <c r="CJ11" s="685"/>
      <c r="CK11" s="685"/>
      <c r="CL11" s="685"/>
      <c r="CM11" s="685"/>
      <c r="CN11" s="685"/>
      <c r="CO11" s="685"/>
      <c r="CP11" s="685"/>
      <c r="CQ11" s="685"/>
      <c r="CR11" s="685"/>
      <c r="CS11" s="685"/>
      <c r="CT11" s="685"/>
      <c r="CU11" s="685"/>
      <c r="CV11" s="685"/>
      <c r="CW11" s="685"/>
      <c r="CX11" s="685"/>
      <c r="CY11" s="685"/>
      <c r="CZ11" s="685"/>
      <c r="DA11" s="685"/>
      <c r="DB11" s="685"/>
      <c r="DC11" s="685"/>
      <c r="DD11" s="685"/>
      <c r="DE11" s="685"/>
      <c r="DF11" s="685"/>
      <c r="DG11" s="685"/>
      <c r="DH11" s="685"/>
      <c r="DI11" s="685"/>
      <c r="DJ11" s="685"/>
      <c r="DK11" s="685"/>
      <c r="DL11" s="685"/>
      <c r="DM11" s="685"/>
      <c r="DN11" s="685"/>
      <c r="DO11" s="685"/>
      <c r="DP11" s="685"/>
      <c r="DQ11" s="685"/>
      <c r="DR11" s="685"/>
      <c r="DS11" s="685"/>
      <c r="DT11" s="685"/>
      <c r="DU11" s="685"/>
      <c r="DV11" s="685"/>
      <c r="DW11" s="685"/>
      <c r="DX11" s="685"/>
      <c r="DY11" s="685"/>
      <c r="DZ11" s="685"/>
      <c r="EA11" s="685"/>
      <c r="EB11" s="685"/>
      <c r="EC11" s="685"/>
      <c r="ED11" s="685"/>
      <c r="EE11" s="685"/>
      <c r="EF11" s="685"/>
      <c r="EG11" s="685"/>
      <c r="EH11" s="685"/>
      <c r="EI11" s="685"/>
      <c r="EJ11" s="685"/>
      <c r="EK11" s="685"/>
      <c r="EL11" s="685"/>
      <c r="EM11" s="685"/>
      <c r="EN11" s="685"/>
      <c r="EO11" s="685"/>
      <c r="EP11" s="685"/>
      <c r="EQ11" s="685"/>
      <c r="ER11" s="685"/>
      <c r="ES11" s="685"/>
      <c r="ET11" s="685"/>
      <c r="EU11" s="685"/>
      <c r="EV11" s="685"/>
      <c r="EW11" s="685"/>
      <c r="EX11" s="685"/>
      <c r="EY11" s="685"/>
      <c r="EZ11" s="685"/>
      <c r="FA11" s="685"/>
      <c r="FB11" s="685"/>
      <c r="FC11" s="685"/>
      <c r="FD11" s="685"/>
      <c r="FE11" s="685"/>
      <c r="FF11" s="685"/>
      <c r="FG11" s="685"/>
      <c r="FH11" s="685"/>
      <c r="FI11" s="685"/>
      <c r="FJ11" s="685"/>
      <c r="FK11" s="685"/>
      <c r="FL11" s="685"/>
      <c r="FM11" s="685"/>
      <c r="FN11" s="685"/>
      <c r="FO11" s="685"/>
      <c r="FP11" s="685"/>
      <c r="FQ11" s="685"/>
      <c r="FR11" s="685"/>
      <c r="FS11" s="685"/>
      <c r="FT11" s="685"/>
      <c r="FU11" s="685"/>
      <c r="FV11" s="685"/>
      <c r="FW11" s="685"/>
      <c r="FX11" s="685"/>
      <c r="FY11" s="685"/>
      <c r="FZ11" s="685"/>
      <c r="GA11" s="685"/>
      <c r="GB11" s="685"/>
      <c r="GC11" s="685"/>
      <c r="GD11" s="685"/>
      <c r="GE11" s="685"/>
      <c r="GF11" s="685"/>
      <c r="GG11" s="685"/>
      <c r="GH11" s="685"/>
      <c r="GI11" s="685"/>
      <c r="GJ11" s="685"/>
      <c r="GK11" s="685"/>
      <c r="GL11" s="685"/>
      <c r="GM11" s="685"/>
      <c r="GN11" s="685"/>
      <c r="GO11" s="685"/>
      <c r="GP11" s="685"/>
      <c r="GQ11" s="685"/>
      <c r="GR11" s="685"/>
      <c r="GS11" s="685"/>
      <c r="GT11" s="685"/>
      <c r="GU11" s="685"/>
      <c r="GV11" s="685"/>
      <c r="GW11" s="685"/>
      <c r="GX11" s="685"/>
      <c r="GY11" s="685"/>
      <c r="GZ11" s="685"/>
      <c r="HA11" s="685"/>
      <c r="HB11" s="685"/>
      <c r="HC11" s="685"/>
      <c r="HD11" s="685"/>
      <c r="HE11" s="685"/>
      <c r="HF11" s="685"/>
      <c r="HG11" s="685"/>
      <c r="HH11" s="685"/>
      <c r="HI11" s="685"/>
      <c r="HJ11" s="685"/>
      <c r="HK11" s="685"/>
      <c r="HL11" s="685"/>
      <c r="HM11" s="685"/>
      <c r="HN11" s="685"/>
      <c r="HO11" s="685"/>
      <c r="HP11" s="685"/>
      <c r="HQ11" s="685"/>
      <c r="HR11" s="685"/>
      <c r="HS11" s="685"/>
      <c r="HT11" s="685"/>
      <c r="HU11" s="685"/>
      <c r="HV11" s="685"/>
      <c r="HW11" s="685"/>
      <c r="HX11" s="685"/>
      <c r="HY11" s="685"/>
      <c r="HZ11" s="685"/>
      <c r="IA11" s="685"/>
      <c r="IB11" s="685"/>
      <c r="IC11" s="685"/>
      <c r="ID11" s="685"/>
      <c r="IE11" s="685"/>
      <c r="IF11" s="685"/>
      <c r="IG11" s="685"/>
      <c r="IH11" s="685"/>
      <c r="II11" s="685"/>
      <c r="IJ11" s="685"/>
      <c r="IK11" s="685"/>
      <c r="IL11" s="685"/>
      <c r="IM11" s="685"/>
      <c r="IN11" s="685"/>
      <c r="IO11" s="685"/>
      <c r="IP11" s="685"/>
      <c r="IQ11" s="685"/>
      <c r="IR11" s="685"/>
      <c r="IS11" s="685"/>
      <c r="IT11" s="685"/>
      <c r="IU11" s="685"/>
      <c r="IV11" s="685"/>
    </row>
    <row r="12" spans="1:256" ht="20.100000000000001" customHeight="1">
      <c r="A12" s="683"/>
      <c r="B12" s="685"/>
      <c r="C12" s="685"/>
      <c r="D12" s="685"/>
      <c r="E12" s="685"/>
      <c r="F12" s="685"/>
      <c r="G12" s="737"/>
      <c r="H12" s="737"/>
      <c r="I12" s="737"/>
      <c r="J12" s="685"/>
      <c r="K12" s="685"/>
      <c r="L12" s="738"/>
      <c r="M12" s="1317"/>
      <c r="N12" s="1317"/>
      <c r="O12" s="1317"/>
      <c r="P12" s="1317"/>
      <c r="Q12" s="1317"/>
      <c r="R12" s="736"/>
      <c r="S12" s="736"/>
      <c r="T12" s="736"/>
      <c r="U12" s="736"/>
      <c r="V12" s="736"/>
      <c r="W12" s="736"/>
      <c r="X12" s="736"/>
      <c r="Y12" s="736"/>
      <c r="Z12" s="685"/>
      <c r="AA12" s="685"/>
      <c r="AB12" s="685"/>
      <c r="AC12" s="731"/>
      <c r="AD12" s="685"/>
      <c r="AE12" s="1314" t="s">
        <v>844</v>
      </c>
      <c r="AF12" s="1315"/>
      <c r="AG12" s="1315"/>
      <c r="AH12" s="1315"/>
      <c r="AI12" s="1315"/>
      <c r="AJ12" s="1315"/>
      <c r="AK12" s="1315"/>
      <c r="AL12" s="685"/>
      <c r="AM12" s="685"/>
      <c r="AN12" s="685"/>
      <c r="AO12" s="685"/>
      <c r="AP12" s="685"/>
      <c r="AQ12" s="685"/>
      <c r="AR12" s="685"/>
      <c r="AS12" s="685"/>
      <c r="AT12" s="685"/>
      <c r="AU12" s="685"/>
      <c r="AV12" s="685"/>
      <c r="AW12" s="685"/>
      <c r="AX12" s="685"/>
      <c r="AY12" s="685"/>
      <c r="AZ12" s="685"/>
      <c r="BA12" s="685"/>
      <c r="BB12" s="685"/>
      <c r="BC12" s="685"/>
      <c r="BD12" s="685"/>
      <c r="BE12" s="685"/>
      <c r="BF12" s="685"/>
      <c r="BG12" s="685"/>
      <c r="BH12" s="685"/>
      <c r="BI12" s="685"/>
      <c r="BJ12" s="685"/>
      <c r="BK12" s="685"/>
      <c r="BL12" s="685"/>
      <c r="BM12" s="685"/>
      <c r="BN12" s="685"/>
      <c r="BO12" s="685"/>
      <c r="BP12" s="685"/>
      <c r="BQ12" s="685"/>
      <c r="BR12" s="685"/>
      <c r="BS12" s="685"/>
      <c r="BT12" s="685"/>
      <c r="BU12" s="685"/>
      <c r="BV12" s="685"/>
      <c r="BW12" s="685"/>
      <c r="BX12" s="685"/>
      <c r="BY12" s="685"/>
      <c r="BZ12" s="685"/>
      <c r="CA12" s="685"/>
      <c r="CB12" s="685"/>
      <c r="CC12" s="685"/>
      <c r="CD12" s="685"/>
      <c r="CE12" s="685"/>
      <c r="CF12" s="685"/>
      <c r="CG12" s="685"/>
      <c r="CH12" s="685"/>
      <c r="CI12" s="685"/>
      <c r="CJ12" s="685"/>
      <c r="CK12" s="685"/>
      <c r="CL12" s="685"/>
      <c r="CM12" s="685"/>
      <c r="CN12" s="685"/>
      <c r="CO12" s="685"/>
      <c r="CP12" s="685"/>
      <c r="CQ12" s="685"/>
      <c r="CR12" s="685"/>
      <c r="CS12" s="685"/>
      <c r="CT12" s="685"/>
      <c r="CU12" s="685"/>
      <c r="CV12" s="685"/>
      <c r="CW12" s="685"/>
      <c r="CX12" s="685"/>
      <c r="CY12" s="685"/>
      <c r="CZ12" s="685"/>
      <c r="DA12" s="685"/>
      <c r="DB12" s="685"/>
      <c r="DC12" s="685"/>
      <c r="DD12" s="685"/>
      <c r="DE12" s="685"/>
      <c r="DF12" s="685"/>
      <c r="DG12" s="685"/>
      <c r="DH12" s="685"/>
      <c r="DI12" s="685"/>
      <c r="DJ12" s="685"/>
      <c r="DK12" s="685"/>
      <c r="DL12" s="685"/>
      <c r="DM12" s="685"/>
      <c r="DN12" s="685"/>
      <c r="DO12" s="685"/>
      <c r="DP12" s="685"/>
      <c r="DQ12" s="685"/>
      <c r="DR12" s="685"/>
      <c r="DS12" s="685"/>
      <c r="DT12" s="685"/>
      <c r="DU12" s="685"/>
      <c r="DV12" s="685"/>
      <c r="DW12" s="685"/>
      <c r="DX12" s="685"/>
      <c r="DY12" s="685"/>
      <c r="DZ12" s="685"/>
      <c r="EA12" s="685"/>
      <c r="EB12" s="685"/>
      <c r="EC12" s="685"/>
      <c r="ED12" s="685"/>
      <c r="EE12" s="685"/>
      <c r="EF12" s="685"/>
      <c r="EG12" s="685"/>
      <c r="EH12" s="685"/>
      <c r="EI12" s="685"/>
      <c r="EJ12" s="685"/>
      <c r="EK12" s="685"/>
      <c r="EL12" s="685"/>
      <c r="EM12" s="685"/>
      <c r="EN12" s="685"/>
      <c r="EO12" s="685"/>
      <c r="EP12" s="685"/>
      <c r="EQ12" s="685"/>
      <c r="ER12" s="685"/>
      <c r="ES12" s="685"/>
      <c r="ET12" s="685"/>
      <c r="EU12" s="685"/>
      <c r="EV12" s="685"/>
      <c r="EW12" s="685"/>
      <c r="EX12" s="685"/>
      <c r="EY12" s="685"/>
      <c r="EZ12" s="685"/>
      <c r="FA12" s="685"/>
      <c r="FB12" s="685"/>
      <c r="FC12" s="685"/>
      <c r="FD12" s="685"/>
      <c r="FE12" s="685"/>
      <c r="FF12" s="685"/>
      <c r="FG12" s="685"/>
      <c r="FH12" s="685"/>
      <c r="FI12" s="685"/>
      <c r="FJ12" s="685"/>
      <c r="FK12" s="685"/>
      <c r="FL12" s="685"/>
      <c r="FM12" s="685"/>
      <c r="FN12" s="685"/>
      <c r="FO12" s="685"/>
      <c r="FP12" s="685"/>
      <c r="FQ12" s="685"/>
      <c r="FR12" s="685"/>
      <c r="FS12" s="685"/>
      <c r="FT12" s="685"/>
      <c r="FU12" s="685"/>
      <c r="FV12" s="685"/>
      <c r="FW12" s="685"/>
      <c r="FX12" s="685"/>
      <c r="FY12" s="685"/>
      <c r="FZ12" s="685"/>
      <c r="GA12" s="685"/>
      <c r="GB12" s="685"/>
      <c r="GC12" s="685"/>
      <c r="GD12" s="685"/>
      <c r="GE12" s="685"/>
      <c r="GF12" s="685"/>
      <c r="GG12" s="685"/>
      <c r="GH12" s="685"/>
      <c r="GI12" s="685"/>
      <c r="GJ12" s="685"/>
      <c r="GK12" s="685"/>
      <c r="GL12" s="685"/>
      <c r="GM12" s="685"/>
      <c r="GN12" s="685"/>
      <c r="GO12" s="685"/>
      <c r="GP12" s="685"/>
      <c r="GQ12" s="685"/>
      <c r="GR12" s="685"/>
      <c r="GS12" s="685"/>
      <c r="GT12" s="685"/>
      <c r="GU12" s="685"/>
      <c r="GV12" s="685"/>
      <c r="GW12" s="685"/>
      <c r="GX12" s="685"/>
      <c r="GY12" s="685"/>
      <c r="GZ12" s="685"/>
      <c r="HA12" s="685"/>
      <c r="HB12" s="685"/>
      <c r="HC12" s="685"/>
      <c r="HD12" s="685"/>
      <c r="HE12" s="685"/>
      <c r="HF12" s="685"/>
      <c r="HG12" s="685"/>
      <c r="HH12" s="685"/>
      <c r="HI12" s="685"/>
      <c r="HJ12" s="685"/>
      <c r="HK12" s="685"/>
      <c r="HL12" s="685"/>
      <c r="HM12" s="685"/>
      <c r="HN12" s="685"/>
      <c r="HO12" s="685"/>
      <c r="HP12" s="685"/>
      <c r="HQ12" s="685"/>
      <c r="HR12" s="685"/>
      <c r="HS12" s="685"/>
      <c r="HT12" s="685"/>
      <c r="HU12" s="685"/>
      <c r="HV12" s="685"/>
      <c r="HW12" s="685"/>
      <c r="HX12" s="685"/>
      <c r="HY12" s="685"/>
      <c r="HZ12" s="685"/>
      <c r="IA12" s="685"/>
      <c r="IB12" s="685"/>
      <c r="IC12" s="685"/>
      <c r="ID12" s="685"/>
      <c r="IE12" s="685"/>
      <c r="IF12" s="685"/>
      <c r="IG12" s="685"/>
      <c r="IH12" s="685"/>
      <c r="II12" s="685"/>
      <c r="IJ12" s="685"/>
      <c r="IK12" s="685"/>
      <c r="IL12" s="685"/>
      <c r="IM12" s="685"/>
      <c r="IN12" s="685"/>
      <c r="IO12" s="685"/>
      <c r="IP12" s="685"/>
      <c r="IQ12" s="685"/>
      <c r="IR12" s="685"/>
      <c r="IS12" s="685"/>
      <c r="IT12" s="685"/>
      <c r="IU12" s="685"/>
      <c r="IV12" s="685"/>
    </row>
    <row r="13" spans="1:256" ht="20.100000000000001" customHeight="1">
      <c r="A13" s="683"/>
      <c r="B13" s="685"/>
      <c r="C13" s="685"/>
      <c r="D13" s="685"/>
      <c r="E13" s="685"/>
      <c r="F13" s="739"/>
      <c r="G13" s="737"/>
      <c r="H13" s="737"/>
      <c r="I13" s="737"/>
      <c r="J13" s="685"/>
      <c r="K13" s="685"/>
      <c r="L13" s="738"/>
      <c r="M13" s="1317"/>
      <c r="N13" s="1317"/>
      <c r="O13" s="1317"/>
      <c r="P13" s="1317"/>
      <c r="Q13" s="1317"/>
      <c r="R13" s="740"/>
      <c r="S13" s="685"/>
      <c r="T13" s="685"/>
      <c r="U13" s="685"/>
      <c r="V13" s="685"/>
      <c r="W13" s="685"/>
      <c r="X13" s="685"/>
      <c r="Y13" s="685"/>
      <c r="Z13" s="685"/>
      <c r="AA13" s="685"/>
      <c r="AB13" s="685"/>
      <c r="AC13" s="731"/>
      <c r="AD13" s="685"/>
      <c r="AE13" s="685"/>
      <c r="AF13" s="685"/>
      <c r="AG13" s="685"/>
      <c r="AH13" s="733"/>
      <c r="AI13" s="685"/>
      <c r="AJ13" s="685"/>
      <c r="AK13" s="685"/>
      <c r="AL13" s="685"/>
      <c r="AM13" s="685"/>
      <c r="AN13" s="685"/>
      <c r="AO13" s="685"/>
      <c r="AP13" s="685"/>
      <c r="AQ13" s="685"/>
      <c r="AR13" s="685"/>
      <c r="AS13" s="685"/>
      <c r="AT13" s="685"/>
      <c r="AU13" s="685"/>
      <c r="AV13" s="685"/>
      <c r="AW13" s="685"/>
      <c r="AX13" s="685"/>
      <c r="AY13" s="685"/>
      <c r="AZ13" s="685"/>
      <c r="BA13" s="685"/>
      <c r="BB13" s="685"/>
      <c r="BC13" s="685"/>
      <c r="BD13" s="685"/>
      <c r="BE13" s="685"/>
      <c r="BF13" s="685"/>
      <c r="BG13" s="685"/>
      <c r="BH13" s="685"/>
      <c r="BI13" s="685"/>
      <c r="BJ13" s="685"/>
      <c r="BK13" s="685"/>
      <c r="BL13" s="685"/>
      <c r="BM13" s="685"/>
      <c r="BN13" s="685"/>
      <c r="BO13" s="685"/>
      <c r="BP13" s="685"/>
      <c r="BQ13" s="685"/>
      <c r="BR13" s="685"/>
      <c r="BS13" s="685"/>
      <c r="BT13" s="685"/>
      <c r="BU13" s="685"/>
      <c r="BV13" s="685"/>
      <c r="BW13" s="685"/>
      <c r="BX13" s="685"/>
      <c r="BY13" s="685"/>
      <c r="BZ13" s="685"/>
      <c r="CA13" s="685"/>
      <c r="CB13" s="685"/>
      <c r="CC13" s="685"/>
      <c r="CD13" s="685"/>
      <c r="CE13" s="685"/>
      <c r="CF13" s="685"/>
      <c r="CG13" s="685"/>
      <c r="CH13" s="685"/>
      <c r="CI13" s="685"/>
      <c r="CJ13" s="685"/>
      <c r="CK13" s="685"/>
      <c r="CL13" s="685"/>
      <c r="CM13" s="685"/>
      <c r="CN13" s="685"/>
      <c r="CO13" s="685"/>
      <c r="CP13" s="685"/>
      <c r="CQ13" s="685"/>
      <c r="CR13" s="685"/>
      <c r="CS13" s="685"/>
      <c r="CT13" s="685"/>
      <c r="CU13" s="685"/>
      <c r="CV13" s="685"/>
      <c r="CW13" s="685"/>
      <c r="CX13" s="685"/>
      <c r="CY13" s="685"/>
      <c r="CZ13" s="685"/>
      <c r="DA13" s="685"/>
      <c r="DB13" s="685"/>
      <c r="DC13" s="685"/>
      <c r="DD13" s="685"/>
      <c r="DE13" s="685"/>
      <c r="DF13" s="685"/>
      <c r="DG13" s="685"/>
      <c r="DH13" s="685"/>
      <c r="DI13" s="685"/>
      <c r="DJ13" s="685"/>
      <c r="DK13" s="685"/>
      <c r="DL13" s="685"/>
      <c r="DM13" s="685"/>
      <c r="DN13" s="685"/>
      <c r="DO13" s="685"/>
      <c r="DP13" s="685"/>
      <c r="DQ13" s="685"/>
      <c r="DR13" s="685"/>
      <c r="DS13" s="685"/>
      <c r="DT13" s="685"/>
      <c r="DU13" s="685"/>
      <c r="DV13" s="685"/>
      <c r="DW13" s="685"/>
      <c r="DX13" s="685"/>
      <c r="DY13" s="685"/>
      <c r="DZ13" s="685"/>
      <c r="EA13" s="685"/>
      <c r="EB13" s="685"/>
      <c r="EC13" s="685"/>
      <c r="ED13" s="685"/>
      <c r="EE13" s="685"/>
      <c r="EF13" s="685"/>
      <c r="EG13" s="685"/>
      <c r="EH13" s="685"/>
      <c r="EI13" s="685"/>
      <c r="EJ13" s="685"/>
      <c r="EK13" s="685"/>
      <c r="EL13" s="685"/>
      <c r="EM13" s="685"/>
      <c r="EN13" s="685"/>
      <c r="EO13" s="685"/>
      <c r="EP13" s="685"/>
      <c r="EQ13" s="685"/>
      <c r="ER13" s="685"/>
      <c r="ES13" s="685"/>
      <c r="ET13" s="685"/>
      <c r="EU13" s="685"/>
      <c r="EV13" s="685"/>
      <c r="EW13" s="685"/>
      <c r="EX13" s="685"/>
      <c r="EY13" s="685"/>
      <c r="EZ13" s="685"/>
      <c r="FA13" s="685"/>
      <c r="FB13" s="685"/>
      <c r="FC13" s="685"/>
      <c r="FD13" s="685"/>
      <c r="FE13" s="685"/>
      <c r="FF13" s="685"/>
      <c r="FG13" s="685"/>
      <c r="FH13" s="685"/>
      <c r="FI13" s="685"/>
      <c r="FJ13" s="685"/>
      <c r="FK13" s="685"/>
      <c r="FL13" s="685"/>
      <c r="FM13" s="685"/>
      <c r="FN13" s="685"/>
      <c r="FO13" s="685"/>
      <c r="FP13" s="685"/>
      <c r="FQ13" s="685"/>
      <c r="FR13" s="685"/>
      <c r="FS13" s="685"/>
      <c r="FT13" s="685"/>
      <c r="FU13" s="685"/>
      <c r="FV13" s="685"/>
      <c r="FW13" s="685"/>
      <c r="FX13" s="685"/>
      <c r="FY13" s="685"/>
      <c r="FZ13" s="685"/>
      <c r="GA13" s="685"/>
      <c r="GB13" s="685"/>
      <c r="GC13" s="685"/>
      <c r="GD13" s="685"/>
      <c r="GE13" s="685"/>
      <c r="GF13" s="685"/>
      <c r="GG13" s="685"/>
      <c r="GH13" s="685"/>
      <c r="GI13" s="685"/>
      <c r="GJ13" s="685"/>
      <c r="GK13" s="685"/>
      <c r="GL13" s="685"/>
      <c r="GM13" s="685"/>
      <c r="GN13" s="685"/>
      <c r="GO13" s="685"/>
      <c r="GP13" s="685"/>
      <c r="GQ13" s="685"/>
      <c r="GR13" s="685"/>
      <c r="GS13" s="685"/>
      <c r="GT13" s="685"/>
      <c r="GU13" s="685"/>
      <c r="GV13" s="685"/>
      <c r="GW13" s="685"/>
      <c r="GX13" s="685"/>
      <c r="GY13" s="685"/>
      <c r="GZ13" s="685"/>
      <c r="HA13" s="685"/>
      <c r="HB13" s="685"/>
      <c r="HC13" s="685"/>
      <c r="HD13" s="685"/>
      <c r="HE13" s="685"/>
      <c r="HF13" s="685"/>
      <c r="HG13" s="685"/>
      <c r="HH13" s="685"/>
      <c r="HI13" s="685"/>
      <c r="HJ13" s="685"/>
      <c r="HK13" s="685"/>
      <c r="HL13" s="685"/>
      <c r="HM13" s="685"/>
      <c r="HN13" s="685"/>
      <c r="HO13" s="685"/>
      <c r="HP13" s="685"/>
      <c r="HQ13" s="685"/>
      <c r="HR13" s="685"/>
      <c r="HS13" s="685"/>
      <c r="HT13" s="685"/>
      <c r="HU13" s="685"/>
      <c r="HV13" s="685"/>
      <c r="HW13" s="685"/>
      <c r="HX13" s="685"/>
      <c r="HY13" s="685"/>
      <c r="HZ13" s="685"/>
      <c r="IA13" s="685"/>
      <c r="IB13" s="685"/>
      <c r="IC13" s="685"/>
      <c r="ID13" s="685"/>
      <c r="IE13" s="685"/>
      <c r="IF13" s="685"/>
      <c r="IG13" s="685"/>
      <c r="IH13" s="685"/>
      <c r="II13" s="685"/>
      <c r="IJ13" s="685"/>
      <c r="IK13" s="685"/>
      <c r="IL13" s="685"/>
      <c r="IM13" s="685"/>
      <c r="IN13" s="685"/>
      <c r="IO13" s="685"/>
      <c r="IP13" s="685"/>
      <c r="IQ13" s="685"/>
      <c r="IR13" s="685"/>
      <c r="IS13" s="685"/>
      <c r="IT13" s="685"/>
      <c r="IU13" s="685"/>
      <c r="IV13" s="685"/>
    </row>
    <row r="14" spans="1:256" ht="20.100000000000001" customHeight="1">
      <c r="A14" s="683"/>
      <c r="B14" s="685"/>
      <c r="C14" s="685"/>
      <c r="D14" s="685"/>
      <c r="E14" s="734" t="s">
        <v>804</v>
      </c>
      <c r="F14" s="734" t="s">
        <v>1085</v>
      </c>
      <c r="G14" s="734"/>
      <c r="H14" s="734"/>
      <c r="I14" s="734"/>
      <c r="J14" s="735"/>
      <c r="K14" s="735" t="s">
        <v>806</v>
      </c>
      <c r="L14" s="1316">
        <f>차수별용역비!D9</f>
        <v>4446495000</v>
      </c>
      <c r="M14" s="1316"/>
      <c r="N14" s="1316"/>
      <c r="O14" s="1316"/>
      <c r="P14" s="1316"/>
      <c r="Q14" s="736" t="str">
        <f>"(금"&amp;(NUMBERSTRING(L14,1))&amp;"원)"</f>
        <v>(금사십사억사천육백사십구만오천원)</v>
      </c>
      <c r="R14" s="736"/>
      <c r="S14" s="736"/>
      <c r="T14" s="736"/>
      <c r="U14" s="736"/>
      <c r="V14" s="736"/>
      <c r="W14" s="736"/>
      <c r="X14" s="736"/>
      <c r="Y14" s="736"/>
      <c r="Z14" s="685"/>
      <c r="AA14" s="685"/>
      <c r="AB14" s="685"/>
      <c r="AC14" s="731"/>
      <c r="AD14" s="685"/>
      <c r="AE14" s="685"/>
      <c r="AF14" s="685"/>
      <c r="AG14" s="685"/>
      <c r="AH14" s="733"/>
      <c r="AI14" s="685"/>
      <c r="AJ14" s="685"/>
      <c r="AK14" s="685"/>
      <c r="AL14" s="685"/>
      <c r="AM14" s="685"/>
      <c r="AN14" s="685"/>
      <c r="AO14" s="685"/>
      <c r="AP14" s="685"/>
      <c r="AQ14" s="685"/>
      <c r="AR14" s="685"/>
      <c r="AS14" s="685"/>
      <c r="AT14" s="685"/>
      <c r="AU14" s="685"/>
      <c r="AV14" s="685"/>
      <c r="AW14" s="685"/>
      <c r="AX14" s="685"/>
      <c r="AY14" s="685"/>
      <c r="AZ14" s="685"/>
      <c r="BA14" s="685"/>
      <c r="BB14" s="685"/>
      <c r="BC14" s="685"/>
      <c r="BD14" s="685"/>
      <c r="BE14" s="685"/>
      <c r="BF14" s="685"/>
      <c r="BG14" s="685"/>
      <c r="BH14" s="685"/>
      <c r="BI14" s="685"/>
      <c r="BJ14" s="685"/>
      <c r="BK14" s="685"/>
      <c r="BL14" s="685"/>
      <c r="BM14" s="685"/>
      <c r="BN14" s="685"/>
      <c r="BO14" s="685"/>
      <c r="BP14" s="685"/>
      <c r="BQ14" s="685"/>
      <c r="BR14" s="685"/>
      <c r="BS14" s="685"/>
      <c r="BT14" s="685"/>
      <c r="BU14" s="685"/>
      <c r="BV14" s="685"/>
      <c r="BW14" s="685"/>
      <c r="BX14" s="685"/>
      <c r="BY14" s="685"/>
      <c r="BZ14" s="685"/>
      <c r="CA14" s="685"/>
      <c r="CB14" s="685"/>
      <c r="CC14" s="685"/>
      <c r="CD14" s="685"/>
      <c r="CE14" s="685"/>
      <c r="CF14" s="685"/>
      <c r="CG14" s="685"/>
      <c r="CH14" s="685"/>
      <c r="CI14" s="685"/>
      <c r="CJ14" s="685"/>
      <c r="CK14" s="685"/>
      <c r="CL14" s="685"/>
      <c r="CM14" s="685"/>
      <c r="CN14" s="685"/>
      <c r="CO14" s="685"/>
      <c r="CP14" s="685"/>
      <c r="CQ14" s="685"/>
      <c r="CR14" s="685"/>
      <c r="CS14" s="685"/>
      <c r="CT14" s="685"/>
      <c r="CU14" s="685"/>
      <c r="CV14" s="685"/>
      <c r="CW14" s="685"/>
      <c r="CX14" s="685"/>
      <c r="CY14" s="685"/>
      <c r="CZ14" s="685"/>
      <c r="DA14" s="685"/>
      <c r="DB14" s="685"/>
      <c r="DC14" s="685"/>
      <c r="DD14" s="685"/>
      <c r="DE14" s="685"/>
      <c r="DF14" s="685"/>
      <c r="DG14" s="685"/>
      <c r="DH14" s="685"/>
      <c r="DI14" s="685"/>
      <c r="DJ14" s="685"/>
      <c r="DK14" s="685"/>
      <c r="DL14" s="685"/>
      <c r="DM14" s="685"/>
      <c r="DN14" s="685"/>
      <c r="DO14" s="685"/>
      <c r="DP14" s="685"/>
      <c r="DQ14" s="685"/>
      <c r="DR14" s="685"/>
      <c r="DS14" s="685"/>
      <c r="DT14" s="685"/>
      <c r="DU14" s="685"/>
      <c r="DV14" s="685"/>
      <c r="DW14" s="685"/>
      <c r="DX14" s="685"/>
      <c r="DY14" s="685"/>
      <c r="DZ14" s="685"/>
      <c r="EA14" s="685"/>
      <c r="EB14" s="685"/>
      <c r="EC14" s="685"/>
      <c r="ED14" s="685"/>
      <c r="EE14" s="685"/>
      <c r="EF14" s="685"/>
      <c r="EG14" s="685"/>
      <c r="EH14" s="685"/>
      <c r="EI14" s="685"/>
      <c r="EJ14" s="685"/>
      <c r="EK14" s="685"/>
      <c r="EL14" s="685"/>
      <c r="EM14" s="685"/>
      <c r="EN14" s="685"/>
      <c r="EO14" s="685"/>
      <c r="EP14" s="685"/>
      <c r="EQ14" s="685"/>
      <c r="ER14" s="685"/>
      <c r="ES14" s="685"/>
      <c r="ET14" s="685"/>
      <c r="EU14" s="685"/>
      <c r="EV14" s="685"/>
      <c r="EW14" s="685"/>
      <c r="EX14" s="685"/>
      <c r="EY14" s="685"/>
      <c r="EZ14" s="685"/>
      <c r="FA14" s="685"/>
      <c r="FB14" s="685"/>
      <c r="FC14" s="685"/>
      <c r="FD14" s="685"/>
      <c r="FE14" s="685"/>
      <c r="FF14" s="685"/>
      <c r="FG14" s="685"/>
      <c r="FH14" s="685"/>
      <c r="FI14" s="685"/>
      <c r="FJ14" s="685"/>
      <c r="FK14" s="685"/>
      <c r="FL14" s="685"/>
      <c r="FM14" s="685"/>
      <c r="FN14" s="685"/>
      <c r="FO14" s="685"/>
      <c r="FP14" s="685"/>
      <c r="FQ14" s="685"/>
      <c r="FR14" s="685"/>
      <c r="FS14" s="685"/>
      <c r="FT14" s="685"/>
      <c r="FU14" s="685"/>
      <c r="FV14" s="685"/>
      <c r="FW14" s="685"/>
      <c r="FX14" s="685"/>
      <c r="FY14" s="685"/>
      <c r="FZ14" s="685"/>
      <c r="GA14" s="685"/>
      <c r="GB14" s="685"/>
      <c r="GC14" s="685"/>
      <c r="GD14" s="685"/>
      <c r="GE14" s="685"/>
      <c r="GF14" s="685"/>
      <c r="GG14" s="685"/>
      <c r="GH14" s="685"/>
      <c r="GI14" s="685"/>
      <c r="GJ14" s="685"/>
      <c r="GK14" s="685"/>
      <c r="GL14" s="685"/>
      <c r="GM14" s="685"/>
      <c r="GN14" s="685"/>
      <c r="GO14" s="685"/>
      <c r="GP14" s="685"/>
      <c r="GQ14" s="685"/>
      <c r="GR14" s="685"/>
      <c r="GS14" s="685"/>
      <c r="GT14" s="685"/>
      <c r="GU14" s="685"/>
      <c r="GV14" s="685"/>
      <c r="GW14" s="685"/>
      <c r="GX14" s="685"/>
      <c r="GY14" s="685"/>
      <c r="GZ14" s="685"/>
      <c r="HA14" s="685"/>
      <c r="HB14" s="685"/>
      <c r="HC14" s="685"/>
      <c r="HD14" s="685"/>
      <c r="HE14" s="685"/>
      <c r="HF14" s="685"/>
      <c r="HG14" s="685"/>
      <c r="HH14" s="685"/>
      <c r="HI14" s="685"/>
      <c r="HJ14" s="685"/>
      <c r="HK14" s="685"/>
      <c r="HL14" s="685"/>
      <c r="HM14" s="685"/>
      <c r="HN14" s="685"/>
      <c r="HO14" s="685"/>
      <c r="HP14" s="685"/>
      <c r="HQ14" s="685"/>
      <c r="HR14" s="685"/>
      <c r="HS14" s="685"/>
      <c r="HT14" s="685"/>
      <c r="HU14" s="685"/>
      <c r="HV14" s="685"/>
      <c r="HW14" s="685"/>
      <c r="HX14" s="685"/>
      <c r="HY14" s="685"/>
      <c r="HZ14" s="685"/>
      <c r="IA14" s="685"/>
      <c r="IB14" s="685"/>
      <c r="IC14" s="685"/>
      <c r="ID14" s="685"/>
      <c r="IE14" s="685"/>
      <c r="IF14" s="685"/>
      <c r="IG14" s="685"/>
      <c r="IH14" s="685"/>
      <c r="II14" s="685"/>
      <c r="IJ14" s="685"/>
      <c r="IK14" s="685"/>
      <c r="IL14" s="685"/>
      <c r="IM14" s="685"/>
      <c r="IN14" s="685"/>
      <c r="IO14" s="685"/>
      <c r="IP14" s="685"/>
      <c r="IQ14" s="685"/>
      <c r="IR14" s="685"/>
      <c r="IS14" s="685"/>
      <c r="IT14" s="685"/>
      <c r="IU14" s="685"/>
      <c r="IV14" s="685"/>
    </row>
    <row r="15" spans="1:256" ht="20.100000000000001" customHeight="1">
      <c r="A15" s="683"/>
      <c r="B15" s="685"/>
      <c r="C15" s="685"/>
      <c r="D15" s="685"/>
      <c r="E15" s="685"/>
      <c r="F15" s="739"/>
      <c r="G15" s="737"/>
      <c r="H15" s="737"/>
      <c r="I15" s="737"/>
      <c r="J15" s="685"/>
      <c r="K15" s="685"/>
      <c r="L15" s="738"/>
      <c r="M15" s="1317"/>
      <c r="N15" s="1317"/>
      <c r="O15" s="1317"/>
      <c r="P15" s="1317"/>
      <c r="Q15" s="1317"/>
      <c r="R15" s="741"/>
      <c r="S15" s="685"/>
      <c r="T15" s="685"/>
      <c r="U15" s="685"/>
      <c r="V15" s="685"/>
      <c r="W15" s="685"/>
      <c r="X15" s="685"/>
      <c r="Y15" s="685"/>
      <c r="Z15" s="685"/>
      <c r="AA15" s="685"/>
      <c r="AB15" s="685"/>
      <c r="AC15" s="731"/>
      <c r="AD15" s="685"/>
      <c r="AE15" s="685"/>
      <c r="AF15" s="685"/>
      <c r="AG15" s="685"/>
      <c r="AH15" s="733"/>
      <c r="AI15" s="685"/>
      <c r="AJ15" s="685"/>
      <c r="AK15" s="685"/>
      <c r="AL15" s="685"/>
      <c r="AM15" s="685"/>
      <c r="AN15" s="685"/>
      <c r="AO15" s="685"/>
      <c r="AP15" s="685"/>
      <c r="AQ15" s="685"/>
      <c r="AR15" s="685"/>
      <c r="AS15" s="685"/>
      <c r="AT15" s="685"/>
      <c r="AU15" s="685"/>
      <c r="AV15" s="685"/>
      <c r="AW15" s="685"/>
      <c r="AX15" s="685"/>
      <c r="AY15" s="685"/>
      <c r="AZ15" s="685"/>
      <c r="BA15" s="685"/>
      <c r="BB15" s="685"/>
      <c r="BC15" s="685"/>
      <c r="BD15" s="685"/>
      <c r="BE15" s="685"/>
      <c r="BF15" s="685"/>
      <c r="BG15" s="685"/>
      <c r="BH15" s="685"/>
      <c r="BI15" s="685"/>
      <c r="BJ15" s="685"/>
      <c r="BK15" s="685"/>
      <c r="BL15" s="685"/>
      <c r="BM15" s="685"/>
      <c r="BN15" s="685"/>
      <c r="BO15" s="685"/>
      <c r="BP15" s="685"/>
      <c r="BQ15" s="685"/>
      <c r="BR15" s="685"/>
      <c r="BS15" s="685"/>
      <c r="BT15" s="685"/>
      <c r="BU15" s="685"/>
      <c r="BV15" s="685"/>
      <c r="BW15" s="685"/>
      <c r="BX15" s="685"/>
      <c r="BY15" s="685"/>
      <c r="BZ15" s="685"/>
      <c r="CA15" s="685"/>
      <c r="CB15" s="685"/>
      <c r="CC15" s="685"/>
      <c r="CD15" s="685"/>
      <c r="CE15" s="685"/>
      <c r="CF15" s="685"/>
      <c r="CG15" s="685"/>
      <c r="CH15" s="685"/>
      <c r="CI15" s="685"/>
      <c r="CJ15" s="685"/>
      <c r="CK15" s="685"/>
      <c r="CL15" s="685"/>
      <c r="CM15" s="685"/>
      <c r="CN15" s="685"/>
      <c r="CO15" s="685"/>
      <c r="CP15" s="685"/>
      <c r="CQ15" s="685"/>
      <c r="CR15" s="685"/>
      <c r="CS15" s="685"/>
      <c r="CT15" s="685"/>
      <c r="CU15" s="685"/>
      <c r="CV15" s="685"/>
      <c r="CW15" s="685"/>
      <c r="CX15" s="685"/>
      <c r="CY15" s="685"/>
      <c r="CZ15" s="685"/>
      <c r="DA15" s="685"/>
      <c r="DB15" s="685"/>
      <c r="DC15" s="685"/>
      <c r="DD15" s="685"/>
      <c r="DE15" s="685"/>
      <c r="DF15" s="685"/>
      <c r="DG15" s="685"/>
      <c r="DH15" s="685"/>
      <c r="DI15" s="685"/>
      <c r="DJ15" s="685"/>
      <c r="DK15" s="685"/>
      <c r="DL15" s="685"/>
      <c r="DM15" s="685"/>
      <c r="DN15" s="685"/>
      <c r="DO15" s="685"/>
      <c r="DP15" s="685"/>
      <c r="DQ15" s="685"/>
      <c r="DR15" s="685"/>
      <c r="DS15" s="685"/>
      <c r="DT15" s="685"/>
      <c r="DU15" s="685"/>
      <c r="DV15" s="685"/>
      <c r="DW15" s="685"/>
      <c r="DX15" s="685"/>
      <c r="DY15" s="685"/>
      <c r="DZ15" s="685"/>
      <c r="EA15" s="685"/>
      <c r="EB15" s="685"/>
      <c r="EC15" s="685"/>
      <c r="ED15" s="685"/>
      <c r="EE15" s="685"/>
      <c r="EF15" s="685"/>
      <c r="EG15" s="685"/>
      <c r="EH15" s="685"/>
      <c r="EI15" s="685"/>
      <c r="EJ15" s="685"/>
      <c r="EK15" s="685"/>
      <c r="EL15" s="685"/>
      <c r="EM15" s="685"/>
      <c r="EN15" s="685"/>
      <c r="EO15" s="685"/>
      <c r="EP15" s="685"/>
      <c r="EQ15" s="685"/>
      <c r="ER15" s="685"/>
      <c r="ES15" s="685"/>
      <c r="ET15" s="685"/>
      <c r="EU15" s="685"/>
      <c r="EV15" s="685"/>
      <c r="EW15" s="685"/>
      <c r="EX15" s="685"/>
      <c r="EY15" s="685"/>
      <c r="EZ15" s="685"/>
      <c r="FA15" s="685"/>
      <c r="FB15" s="685"/>
      <c r="FC15" s="685"/>
      <c r="FD15" s="685"/>
      <c r="FE15" s="685"/>
      <c r="FF15" s="685"/>
      <c r="FG15" s="685"/>
      <c r="FH15" s="685"/>
      <c r="FI15" s="685"/>
      <c r="FJ15" s="685"/>
      <c r="FK15" s="685"/>
      <c r="FL15" s="685"/>
      <c r="FM15" s="685"/>
      <c r="FN15" s="685"/>
      <c r="FO15" s="685"/>
      <c r="FP15" s="685"/>
      <c r="FQ15" s="685"/>
      <c r="FR15" s="685"/>
      <c r="FS15" s="685"/>
      <c r="FT15" s="685"/>
      <c r="FU15" s="685"/>
      <c r="FV15" s="685"/>
      <c r="FW15" s="685"/>
      <c r="FX15" s="685"/>
      <c r="FY15" s="685"/>
      <c r="FZ15" s="685"/>
      <c r="GA15" s="685"/>
      <c r="GB15" s="685"/>
      <c r="GC15" s="685"/>
      <c r="GD15" s="685"/>
      <c r="GE15" s="685"/>
      <c r="GF15" s="685"/>
      <c r="GG15" s="685"/>
      <c r="GH15" s="685"/>
      <c r="GI15" s="685"/>
      <c r="GJ15" s="685"/>
      <c r="GK15" s="685"/>
      <c r="GL15" s="685"/>
      <c r="GM15" s="685"/>
      <c r="GN15" s="685"/>
      <c r="GO15" s="685"/>
      <c r="GP15" s="685"/>
      <c r="GQ15" s="685"/>
      <c r="GR15" s="685"/>
      <c r="GS15" s="685"/>
      <c r="GT15" s="685"/>
      <c r="GU15" s="685"/>
      <c r="GV15" s="685"/>
      <c r="GW15" s="685"/>
      <c r="GX15" s="685"/>
      <c r="GY15" s="685"/>
      <c r="GZ15" s="685"/>
      <c r="HA15" s="685"/>
      <c r="HB15" s="685"/>
      <c r="HC15" s="685"/>
      <c r="HD15" s="685"/>
      <c r="HE15" s="685"/>
      <c r="HF15" s="685"/>
      <c r="HG15" s="685"/>
      <c r="HH15" s="685"/>
      <c r="HI15" s="685"/>
      <c r="HJ15" s="685"/>
      <c r="HK15" s="685"/>
      <c r="HL15" s="685"/>
      <c r="HM15" s="685"/>
      <c r="HN15" s="685"/>
      <c r="HO15" s="685"/>
      <c r="HP15" s="685"/>
      <c r="HQ15" s="685"/>
      <c r="HR15" s="685"/>
      <c r="HS15" s="685"/>
      <c r="HT15" s="685"/>
      <c r="HU15" s="685"/>
      <c r="HV15" s="685"/>
      <c r="HW15" s="685"/>
      <c r="HX15" s="685"/>
      <c r="HY15" s="685"/>
      <c r="HZ15" s="685"/>
      <c r="IA15" s="685"/>
      <c r="IB15" s="685"/>
      <c r="IC15" s="685"/>
      <c r="ID15" s="685"/>
      <c r="IE15" s="685"/>
      <c r="IF15" s="685"/>
      <c r="IG15" s="685"/>
      <c r="IH15" s="685"/>
      <c r="II15" s="685"/>
      <c r="IJ15" s="685"/>
      <c r="IK15" s="685"/>
      <c r="IL15" s="685"/>
      <c r="IM15" s="685"/>
      <c r="IN15" s="685"/>
      <c r="IO15" s="685"/>
      <c r="IP15" s="685"/>
      <c r="IQ15" s="685"/>
      <c r="IR15" s="685"/>
      <c r="IS15" s="685"/>
      <c r="IT15" s="685"/>
      <c r="IU15" s="685"/>
      <c r="IV15" s="685"/>
    </row>
    <row r="16" spans="1:256" ht="20.100000000000001" customHeight="1">
      <c r="A16" s="742"/>
      <c r="B16" s="734"/>
      <c r="C16" s="734"/>
      <c r="D16" s="734"/>
      <c r="E16" s="685"/>
      <c r="F16" s="739"/>
      <c r="G16" s="737"/>
      <c r="H16" s="737"/>
      <c r="I16" s="737"/>
      <c r="J16" s="685"/>
      <c r="K16" s="685"/>
      <c r="L16" s="738"/>
      <c r="M16" s="1317"/>
      <c r="N16" s="1317"/>
      <c r="O16" s="1317"/>
      <c r="P16" s="1317"/>
      <c r="Q16" s="1317"/>
      <c r="R16" s="741"/>
      <c r="S16" s="685"/>
      <c r="T16" s="685"/>
      <c r="U16" s="685"/>
      <c r="V16" s="685"/>
      <c r="W16" s="685"/>
      <c r="X16" s="685"/>
      <c r="Y16" s="685"/>
      <c r="Z16" s="734"/>
      <c r="AA16" s="743"/>
      <c r="AB16" s="734"/>
      <c r="AC16" s="744"/>
      <c r="AD16" s="734"/>
      <c r="AE16" s="1318"/>
      <c r="AF16" s="1319"/>
      <c r="AG16" s="1320"/>
      <c r="AH16" s="745"/>
      <c r="AI16" s="734"/>
      <c r="AJ16" s="1318"/>
      <c r="AK16" s="1319"/>
      <c r="AL16" s="1320"/>
      <c r="AM16" s="745"/>
      <c r="AN16" s="734"/>
      <c r="AO16" s="734"/>
      <c r="AP16" s="734"/>
      <c r="AQ16" s="734"/>
      <c r="AR16" s="734"/>
      <c r="AS16" s="734"/>
      <c r="AT16" s="734"/>
      <c r="AU16" s="734"/>
      <c r="AV16" s="734"/>
      <c r="AW16" s="734"/>
      <c r="AX16" s="734"/>
      <c r="AY16" s="734"/>
      <c r="AZ16" s="734"/>
      <c r="BA16" s="734"/>
      <c r="BB16" s="734"/>
      <c r="BC16" s="734"/>
      <c r="BD16" s="734"/>
      <c r="BE16" s="734"/>
      <c r="BF16" s="734"/>
      <c r="BG16" s="734"/>
      <c r="BH16" s="734"/>
      <c r="BI16" s="734"/>
      <c r="BJ16" s="734"/>
      <c r="BK16" s="734"/>
      <c r="BL16" s="734"/>
      <c r="BM16" s="734"/>
      <c r="BN16" s="734"/>
      <c r="BO16" s="734"/>
      <c r="BP16" s="734"/>
      <c r="BQ16" s="734"/>
      <c r="BR16" s="734"/>
      <c r="BS16" s="734"/>
      <c r="BT16" s="734"/>
      <c r="BU16" s="734"/>
      <c r="BV16" s="734"/>
      <c r="BW16" s="734"/>
      <c r="BX16" s="734"/>
      <c r="BY16" s="734"/>
      <c r="BZ16" s="734"/>
      <c r="CA16" s="734"/>
      <c r="CB16" s="734"/>
      <c r="CC16" s="734"/>
      <c r="CD16" s="734"/>
      <c r="CE16" s="734"/>
      <c r="CF16" s="734"/>
      <c r="CG16" s="734"/>
      <c r="CH16" s="734"/>
      <c r="CI16" s="734"/>
      <c r="CJ16" s="734"/>
      <c r="CK16" s="734"/>
      <c r="CL16" s="734"/>
      <c r="CM16" s="734"/>
      <c r="CN16" s="734"/>
      <c r="CO16" s="734"/>
      <c r="CP16" s="734"/>
      <c r="CQ16" s="734"/>
      <c r="CR16" s="734"/>
      <c r="CS16" s="734"/>
      <c r="CT16" s="734"/>
      <c r="CU16" s="734"/>
      <c r="CV16" s="734"/>
      <c r="CW16" s="734"/>
      <c r="CX16" s="734"/>
      <c r="CY16" s="734"/>
      <c r="CZ16" s="734"/>
      <c r="DA16" s="734"/>
      <c r="DB16" s="734"/>
      <c r="DC16" s="734"/>
      <c r="DD16" s="734"/>
      <c r="DE16" s="734"/>
      <c r="DF16" s="734"/>
      <c r="DG16" s="734"/>
      <c r="DH16" s="734"/>
      <c r="DI16" s="734"/>
      <c r="DJ16" s="734"/>
      <c r="DK16" s="734"/>
      <c r="DL16" s="734"/>
      <c r="DM16" s="734"/>
      <c r="DN16" s="734"/>
      <c r="DO16" s="734"/>
      <c r="DP16" s="734"/>
      <c r="DQ16" s="734"/>
      <c r="DR16" s="734"/>
      <c r="DS16" s="734"/>
      <c r="DT16" s="734"/>
      <c r="DU16" s="734"/>
      <c r="DV16" s="734"/>
      <c r="DW16" s="734"/>
      <c r="DX16" s="734"/>
      <c r="DY16" s="734"/>
      <c r="DZ16" s="734"/>
      <c r="EA16" s="734"/>
      <c r="EB16" s="734"/>
      <c r="EC16" s="734"/>
      <c r="ED16" s="734"/>
      <c r="EE16" s="734"/>
      <c r="EF16" s="734"/>
      <c r="EG16" s="734"/>
      <c r="EH16" s="734"/>
      <c r="EI16" s="734"/>
      <c r="EJ16" s="734"/>
      <c r="EK16" s="734"/>
      <c r="EL16" s="734"/>
      <c r="EM16" s="734"/>
      <c r="EN16" s="734"/>
      <c r="EO16" s="734"/>
      <c r="EP16" s="734"/>
      <c r="EQ16" s="734"/>
      <c r="ER16" s="734"/>
      <c r="ES16" s="734"/>
      <c r="ET16" s="734"/>
      <c r="EU16" s="734"/>
      <c r="EV16" s="734"/>
      <c r="EW16" s="734"/>
      <c r="EX16" s="734"/>
      <c r="EY16" s="734"/>
      <c r="EZ16" s="734"/>
      <c r="FA16" s="734"/>
      <c r="FB16" s="734"/>
      <c r="FC16" s="734"/>
      <c r="FD16" s="734"/>
      <c r="FE16" s="734"/>
      <c r="FF16" s="734"/>
      <c r="FG16" s="734"/>
      <c r="FH16" s="734"/>
      <c r="FI16" s="734"/>
      <c r="FJ16" s="734"/>
      <c r="FK16" s="734"/>
      <c r="FL16" s="734"/>
      <c r="FM16" s="734"/>
      <c r="FN16" s="734"/>
      <c r="FO16" s="734"/>
      <c r="FP16" s="734"/>
      <c r="FQ16" s="734"/>
      <c r="FR16" s="734"/>
      <c r="FS16" s="734"/>
      <c r="FT16" s="734"/>
      <c r="FU16" s="734"/>
      <c r="FV16" s="734"/>
      <c r="FW16" s="734"/>
      <c r="FX16" s="734"/>
      <c r="FY16" s="734"/>
      <c r="FZ16" s="734"/>
      <c r="GA16" s="734"/>
      <c r="GB16" s="734"/>
      <c r="GC16" s="734"/>
      <c r="GD16" s="734"/>
      <c r="GE16" s="734"/>
      <c r="GF16" s="734"/>
      <c r="GG16" s="734"/>
      <c r="GH16" s="734"/>
      <c r="GI16" s="734"/>
      <c r="GJ16" s="734"/>
      <c r="GK16" s="734"/>
      <c r="GL16" s="734"/>
      <c r="GM16" s="734"/>
      <c r="GN16" s="734"/>
      <c r="GO16" s="734"/>
      <c r="GP16" s="734"/>
      <c r="GQ16" s="734"/>
      <c r="GR16" s="734"/>
      <c r="GS16" s="734"/>
      <c r="GT16" s="734"/>
      <c r="GU16" s="734"/>
      <c r="GV16" s="734"/>
      <c r="GW16" s="734"/>
      <c r="GX16" s="734"/>
      <c r="GY16" s="734"/>
      <c r="GZ16" s="734"/>
      <c r="HA16" s="734"/>
      <c r="HB16" s="734"/>
      <c r="HC16" s="734"/>
      <c r="HD16" s="734"/>
      <c r="HE16" s="734"/>
      <c r="HF16" s="734"/>
      <c r="HG16" s="734"/>
      <c r="HH16" s="734"/>
      <c r="HI16" s="734"/>
      <c r="HJ16" s="734"/>
      <c r="HK16" s="734"/>
      <c r="HL16" s="734"/>
      <c r="HM16" s="734"/>
      <c r="HN16" s="734"/>
      <c r="HO16" s="734"/>
      <c r="HP16" s="734"/>
      <c r="HQ16" s="734"/>
      <c r="HR16" s="734"/>
      <c r="HS16" s="734"/>
      <c r="HT16" s="734"/>
      <c r="HU16" s="734"/>
      <c r="HV16" s="734"/>
      <c r="HW16" s="734"/>
      <c r="HX16" s="734"/>
      <c r="HY16" s="734"/>
      <c r="HZ16" s="734"/>
      <c r="IA16" s="734"/>
      <c r="IB16" s="734"/>
      <c r="IC16" s="734"/>
      <c r="ID16" s="734"/>
      <c r="IE16" s="734"/>
      <c r="IF16" s="734"/>
      <c r="IG16" s="734"/>
      <c r="IH16" s="734"/>
      <c r="II16" s="734"/>
      <c r="IJ16" s="734"/>
      <c r="IK16" s="734"/>
      <c r="IL16" s="734"/>
      <c r="IM16" s="734"/>
      <c r="IN16" s="734"/>
      <c r="IO16" s="734"/>
      <c r="IP16" s="734"/>
      <c r="IQ16" s="734"/>
      <c r="IR16" s="734"/>
      <c r="IS16" s="734"/>
      <c r="IT16" s="734"/>
      <c r="IU16" s="734"/>
      <c r="IV16" s="734"/>
    </row>
    <row r="17" spans="1:256" ht="20.100000000000001" customHeight="1">
      <c r="A17" s="683"/>
      <c r="B17" s="685"/>
      <c r="C17" s="685"/>
      <c r="D17" s="685"/>
      <c r="E17" s="734" t="s">
        <v>804</v>
      </c>
      <c r="F17" s="734" t="s">
        <v>1086</v>
      </c>
      <c r="G17" s="734"/>
      <c r="H17" s="734"/>
      <c r="I17" s="734"/>
      <c r="J17" s="735"/>
      <c r="K17" s="735" t="s">
        <v>806</v>
      </c>
      <c r="L17" s="1316">
        <f>차수별용역비!D10</f>
        <v>4471344000</v>
      </c>
      <c r="M17" s="1316"/>
      <c r="N17" s="1316"/>
      <c r="O17" s="1316"/>
      <c r="P17" s="1316"/>
      <c r="Q17" s="736" t="str">
        <f>"(금"&amp;(NUMBERSTRING(L17,1))&amp;"원)"</f>
        <v>(금사십사억칠천일백삼십사만사천원)</v>
      </c>
      <c r="R17" s="736"/>
      <c r="S17" s="736"/>
      <c r="T17" s="736"/>
      <c r="U17" s="736"/>
      <c r="V17" s="736"/>
      <c r="W17" s="736"/>
      <c r="X17" s="736"/>
      <c r="Y17" s="736"/>
      <c r="Z17" s="685"/>
      <c r="AA17" s="685"/>
      <c r="AB17" s="685"/>
      <c r="AC17" s="731"/>
      <c r="AD17" s="685"/>
      <c r="AE17" s="1321"/>
      <c r="AF17" s="1322"/>
      <c r="AG17" s="1323"/>
      <c r="AH17" s="746"/>
      <c r="AI17" s="685"/>
      <c r="AJ17" s="1321"/>
      <c r="AK17" s="1322"/>
      <c r="AL17" s="1323"/>
      <c r="AM17" s="746"/>
      <c r="AN17" s="685"/>
      <c r="AO17" s="685"/>
      <c r="AP17" s="685"/>
      <c r="AQ17" s="685"/>
      <c r="AR17" s="685"/>
      <c r="AS17" s="685"/>
      <c r="AT17" s="685"/>
      <c r="AU17" s="685"/>
      <c r="AV17" s="685"/>
      <c r="AW17" s="685"/>
      <c r="AX17" s="685"/>
      <c r="AY17" s="685"/>
      <c r="AZ17" s="685"/>
      <c r="BA17" s="685"/>
      <c r="BB17" s="685"/>
      <c r="BC17" s="685"/>
      <c r="BD17" s="685"/>
      <c r="BE17" s="685"/>
      <c r="BF17" s="685"/>
      <c r="BG17" s="685"/>
      <c r="BH17" s="685"/>
      <c r="BI17" s="685"/>
      <c r="BJ17" s="685"/>
      <c r="BK17" s="685"/>
      <c r="BL17" s="685"/>
      <c r="BM17" s="685"/>
      <c r="BN17" s="685"/>
      <c r="BO17" s="685"/>
      <c r="BP17" s="685"/>
      <c r="BQ17" s="685"/>
      <c r="BR17" s="685"/>
      <c r="BS17" s="685"/>
      <c r="BT17" s="685"/>
      <c r="BU17" s="685"/>
      <c r="BV17" s="685"/>
      <c r="BW17" s="685"/>
      <c r="BX17" s="685"/>
      <c r="BY17" s="685"/>
      <c r="BZ17" s="685"/>
      <c r="CA17" s="685"/>
      <c r="CB17" s="685"/>
      <c r="CC17" s="685"/>
      <c r="CD17" s="685"/>
      <c r="CE17" s="685"/>
      <c r="CF17" s="685"/>
      <c r="CG17" s="685"/>
      <c r="CH17" s="685"/>
      <c r="CI17" s="685"/>
      <c r="CJ17" s="685"/>
      <c r="CK17" s="685"/>
      <c r="CL17" s="685"/>
      <c r="CM17" s="685"/>
      <c r="CN17" s="685"/>
      <c r="CO17" s="685"/>
      <c r="CP17" s="685"/>
      <c r="CQ17" s="685"/>
      <c r="CR17" s="685"/>
      <c r="CS17" s="685"/>
      <c r="CT17" s="685"/>
      <c r="CU17" s="685"/>
      <c r="CV17" s="685"/>
      <c r="CW17" s="685"/>
      <c r="CX17" s="685"/>
      <c r="CY17" s="685"/>
      <c r="CZ17" s="685"/>
      <c r="DA17" s="685"/>
      <c r="DB17" s="685"/>
      <c r="DC17" s="685"/>
      <c r="DD17" s="685"/>
      <c r="DE17" s="685"/>
      <c r="DF17" s="685"/>
      <c r="DG17" s="685"/>
      <c r="DH17" s="685"/>
      <c r="DI17" s="685"/>
      <c r="DJ17" s="685"/>
      <c r="DK17" s="685"/>
      <c r="DL17" s="685"/>
      <c r="DM17" s="685"/>
      <c r="DN17" s="685"/>
      <c r="DO17" s="685"/>
      <c r="DP17" s="685"/>
      <c r="DQ17" s="685"/>
      <c r="DR17" s="685"/>
      <c r="DS17" s="685"/>
      <c r="DT17" s="685"/>
      <c r="DU17" s="685"/>
      <c r="DV17" s="685"/>
      <c r="DW17" s="685"/>
      <c r="DX17" s="685"/>
      <c r="DY17" s="685"/>
      <c r="DZ17" s="685"/>
      <c r="EA17" s="685"/>
      <c r="EB17" s="685"/>
      <c r="EC17" s="685"/>
      <c r="ED17" s="685"/>
      <c r="EE17" s="685"/>
      <c r="EF17" s="685"/>
      <c r="EG17" s="685"/>
      <c r="EH17" s="685"/>
      <c r="EI17" s="685"/>
      <c r="EJ17" s="685"/>
      <c r="EK17" s="685"/>
      <c r="EL17" s="685"/>
      <c r="EM17" s="685"/>
      <c r="EN17" s="685"/>
      <c r="EO17" s="685"/>
      <c r="EP17" s="685"/>
      <c r="EQ17" s="685"/>
      <c r="ER17" s="685"/>
      <c r="ES17" s="685"/>
      <c r="ET17" s="685"/>
      <c r="EU17" s="685"/>
      <c r="EV17" s="685"/>
      <c r="EW17" s="685"/>
      <c r="EX17" s="685"/>
      <c r="EY17" s="685"/>
      <c r="EZ17" s="685"/>
      <c r="FA17" s="685"/>
      <c r="FB17" s="685"/>
      <c r="FC17" s="685"/>
      <c r="FD17" s="685"/>
      <c r="FE17" s="685"/>
      <c r="FF17" s="685"/>
      <c r="FG17" s="685"/>
      <c r="FH17" s="685"/>
      <c r="FI17" s="685"/>
      <c r="FJ17" s="685"/>
      <c r="FK17" s="685"/>
      <c r="FL17" s="685"/>
      <c r="FM17" s="685"/>
      <c r="FN17" s="685"/>
      <c r="FO17" s="685"/>
      <c r="FP17" s="685"/>
      <c r="FQ17" s="685"/>
      <c r="FR17" s="685"/>
      <c r="FS17" s="685"/>
      <c r="FT17" s="685"/>
      <c r="FU17" s="685"/>
      <c r="FV17" s="685"/>
      <c r="FW17" s="685"/>
      <c r="FX17" s="685"/>
      <c r="FY17" s="685"/>
      <c r="FZ17" s="685"/>
      <c r="GA17" s="685"/>
      <c r="GB17" s="685"/>
      <c r="GC17" s="685"/>
      <c r="GD17" s="685"/>
      <c r="GE17" s="685"/>
      <c r="GF17" s="685"/>
      <c r="GG17" s="685"/>
      <c r="GH17" s="685"/>
      <c r="GI17" s="685"/>
      <c r="GJ17" s="685"/>
      <c r="GK17" s="685"/>
      <c r="GL17" s="685"/>
      <c r="GM17" s="685"/>
      <c r="GN17" s="685"/>
      <c r="GO17" s="685"/>
      <c r="GP17" s="685"/>
      <c r="GQ17" s="685"/>
      <c r="GR17" s="685"/>
      <c r="GS17" s="685"/>
      <c r="GT17" s="685"/>
      <c r="GU17" s="685"/>
      <c r="GV17" s="685"/>
      <c r="GW17" s="685"/>
      <c r="GX17" s="685"/>
      <c r="GY17" s="685"/>
      <c r="GZ17" s="685"/>
      <c r="HA17" s="685"/>
      <c r="HB17" s="685"/>
      <c r="HC17" s="685"/>
      <c r="HD17" s="685"/>
      <c r="HE17" s="685"/>
      <c r="HF17" s="685"/>
      <c r="HG17" s="685"/>
      <c r="HH17" s="685"/>
      <c r="HI17" s="685"/>
      <c r="HJ17" s="685"/>
      <c r="HK17" s="685"/>
      <c r="HL17" s="685"/>
      <c r="HM17" s="685"/>
      <c r="HN17" s="685"/>
      <c r="HO17" s="685"/>
      <c r="HP17" s="685"/>
      <c r="HQ17" s="685"/>
      <c r="HR17" s="685"/>
      <c r="HS17" s="685"/>
      <c r="HT17" s="685"/>
      <c r="HU17" s="685"/>
      <c r="HV17" s="685"/>
      <c r="HW17" s="685"/>
      <c r="HX17" s="685"/>
      <c r="HY17" s="685"/>
      <c r="HZ17" s="685"/>
      <c r="IA17" s="685"/>
      <c r="IB17" s="685"/>
      <c r="IC17" s="685"/>
      <c r="ID17" s="685"/>
      <c r="IE17" s="685"/>
      <c r="IF17" s="685"/>
      <c r="IG17" s="685"/>
      <c r="IH17" s="685"/>
      <c r="II17" s="685"/>
      <c r="IJ17" s="685"/>
      <c r="IK17" s="685"/>
      <c r="IL17" s="685"/>
      <c r="IM17" s="685"/>
      <c r="IN17" s="685"/>
      <c r="IO17" s="685"/>
      <c r="IP17" s="685"/>
      <c r="IQ17" s="685"/>
      <c r="IR17" s="685"/>
      <c r="IS17" s="685"/>
      <c r="IT17" s="685"/>
      <c r="IU17" s="685"/>
      <c r="IV17" s="685"/>
    </row>
    <row r="18" spans="1:256" ht="20.100000000000001" customHeight="1">
      <c r="A18" s="683"/>
      <c r="B18" s="685"/>
      <c r="C18" s="685"/>
      <c r="D18" s="685"/>
      <c r="E18" s="685"/>
      <c r="F18" s="739"/>
      <c r="G18" s="737"/>
      <c r="H18" s="737"/>
      <c r="I18" s="737"/>
      <c r="J18" s="685"/>
      <c r="K18" s="685"/>
      <c r="L18" s="738"/>
      <c r="M18" s="1317"/>
      <c r="N18" s="1317"/>
      <c r="O18" s="1317"/>
      <c r="P18" s="1317"/>
      <c r="Q18" s="1317"/>
      <c r="R18" s="741"/>
      <c r="S18" s="685"/>
      <c r="T18" s="685"/>
      <c r="U18" s="685"/>
      <c r="V18" s="685"/>
      <c r="W18" s="685"/>
      <c r="X18" s="685"/>
      <c r="Y18" s="685"/>
      <c r="Z18" s="685"/>
      <c r="AA18" s="685"/>
      <c r="AB18" s="685"/>
      <c r="AC18" s="731"/>
      <c r="AD18" s="685"/>
      <c r="AE18" s="1318"/>
      <c r="AF18" s="1319"/>
      <c r="AG18" s="1320"/>
      <c r="AH18" s="745"/>
      <c r="AI18" s="685"/>
      <c r="AJ18" s="1318"/>
      <c r="AK18" s="1319"/>
      <c r="AL18" s="1320"/>
      <c r="AM18" s="745"/>
      <c r="AN18" s="685"/>
      <c r="AO18" s="685"/>
      <c r="AP18" s="685"/>
      <c r="AQ18" s="685"/>
      <c r="AR18" s="685"/>
      <c r="AS18" s="685"/>
      <c r="AT18" s="685"/>
      <c r="AU18" s="685"/>
      <c r="AV18" s="685"/>
      <c r="AW18" s="685"/>
      <c r="AX18" s="685"/>
      <c r="AY18" s="685"/>
      <c r="AZ18" s="685"/>
      <c r="BA18" s="685"/>
      <c r="BB18" s="685"/>
      <c r="BC18" s="685"/>
      <c r="BD18" s="685"/>
      <c r="BE18" s="685"/>
      <c r="BF18" s="685"/>
      <c r="BG18" s="685"/>
      <c r="BH18" s="685"/>
      <c r="BI18" s="685"/>
      <c r="BJ18" s="685"/>
      <c r="BK18" s="685"/>
      <c r="BL18" s="685"/>
      <c r="BM18" s="685"/>
      <c r="BN18" s="685"/>
      <c r="BO18" s="685"/>
      <c r="BP18" s="685"/>
      <c r="BQ18" s="685"/>
      <c r="BR18" s="685"/>
      <c r="BS18" s="685"/>
      <c r="BT18" s="685"/>
      <c r="BU18" s="685"/>
      <c r="BV18" s="685"/>
      <c r="BW18" s="685"/>
      <c r="BX18" s="685"/>
      <c r="BY18" s="685"/>
      <c r="BZ18" s="685"/>
      <c r="CA18" s="685"/>
      <c r="CB18" s="685"/>
      <c r="CC18" s="685"/>
      <c r="CD18" s="685"/>
      <c r="CE18" s="685"/>
      <c r="CF18" s="685"/>
      <c r="CG18" s="685"/>
      <c r="CH18" s="685"/>
      <c r="CI18" s="685"/>
      <c r="CJ18" s="685"/>
      <c r="CK18" s="685"/>
      <c r="CL18" s="685"/>
      <c r="CM18" s="685"/>
      <c r="CN18" s="685"/>
      <c r="CO18" s="685"/>
      <c r="CP18" s="685"/>
      <c r="CQ18" s="685"/>
      <c r="CR18" s="685"/>
      <c r="CS18" s="685"/>
      <c r="CT18" s="685"/>
      <c r="CU18" s="685"/>
      <c r="CV18" s="685"/>
      <c r="CW18" s="685"/>
      <c r="CX18" s="685"/>
      <c r="CY18" s="685"/>
      <c r="CZ18" s="685"/>
      <c r="DA18" s="685"/>
      <c r="DB18" s="685"/>
      <c r="DC18" s="685"/>
      <c r="DD18" s="685"/>
      <c r="DE18" s="685"/>
      <c r="DF18" s="685"/>
      <c r="DG18" s="685"/>
      <c r="DH18" s="685"/>
      <c r="DI18" s="685"/>
      <c r="DJ18" s="685"/>
      <c r="DK18" s="685"/>
      <c r="DL18" s="685"/>
      <c r="DM18" s="685"/>
      <c r="DN18" s="685"/>
      <c r="DO18" s="685"/>
      <c r="DP18" s="685"/>
      <c r="DQ18" s="685"/>
      <c r="DR18" s="685"/>
      <c r="DS18" s="685"/>
      <c r="DT18" s="685"/>
      <c r="DU18" s="685"/>
      <c r="DV18" s="685"/>
      <c r="DW18" s="685"/>
      <c r="DX18" s="685"/>
      <c r="DY18" s="685"/>
      <c r="DZ18" s="685"/>
      <c r="EA18" s="685"/>
      <c r="EB18" s="685"/>
      <c r="EC18" s="685"/>
      <c r="ED18" s="685"/>
      <c r="EE18" s="685"/>
      <c r="EF18" s="685"/>
      <c r="EG18" s="685"/>
      <c r="EH18" s="685"/>
      <c r="EI18" s="685"/>
      <c r="EJ18" s="685"/>
      <c r="EK18" s="685"/>
      <c r="EL18" s="685"/>
      <c r="EM18" s="685"/>
      <c r="EN18" s="685"/>
      <c r="EO18" s="685"/>
      <c r="EP18" s="685"/>
      <c r="EQ18" s="685"/>
      <c r="ER18" s="685"/>
      <c r="ES18" s="685"/>
      <c r="ET18" s="685"/>
      <c r="EU18" s="685"/>
      <c r="EV18" s="685"/>
      <c r="EW18" s="685"/>
      <c r="EX18" s="685"/>
      <c r="EY18" s="685"/>
      <c r="EZ18" s="685"/>
      <c r="FA18" s="685"/>
      <c r="FB18" s="685"/>
      <c r="FC18" s="685"/>
      <c r="FD18" s="685"/>
      <c r="FE18" s="685"/>
      <c r="FF18" s="685"/>
      <c r="FG18" s="685"/>
      <c r="FH18" s="685"/>
      <c r="FI18" s="685"/>
      <c r="FJ18" s="685"/>
      <c r="FK18" s="685"/>
      <c r="FL18" s="685"/>
      <c r="FM18" s="685"/>
      <c r="FN18" s="685"/>
      <c r="FO18" s="685"/>
      <c r="FP18" s="685"/>
      <c r="FQ18" s="685"/>
      <c r="FR18" s="685"/>
      <c r="FS18" s="685"/>
      <c r="FT18" s="685"/>
      <c r="FU18" s="685"/>
      <c r="FV18" s="685"/>
      <c r="FW18" s="685"/>
      <c r="FX18" s="685"/>
      <c r="FY18" s="685"/>
      <c r="FZ18" s="685"/>
      <c r="GA18" s="685"/>
      <c r="GB18" s="685"/>
      <c r="GC18" s="685"/>
      <c r="GD18" s="685"/>
      <c r="GE18" s="685"/>
      <c r="GF18" s="685"/>
      <c r="GG18" s="685"/>
      <c r="GH18" s="685"/>
      <c r="GI18" s="685"/>
      <c r="GJ18" s="685"/>
      <c r="GK18" s="685"/>
      <c r="GL18" s="685"/>
      <c r="GM18" s="685"/>
      <c r="GN18" s="685"/>
      <c r="GO18" s="685"/>
      <c r="GP18" s="685"/>
      <c r="GQ18" s="685"/>
      <c r="GR18" s="685"/>
      <c r="GS18" s="685"/>
      <c r="GT18" s="685"/>
      <c r="GU18" s="685"/>
      <c r="GV18" s="685"/>
      <c r="GW18" s="685"/>
      <c r="GX18" s="685"/>
      <c r="GY18" s="685"/>
      <c r="GZ18" s="685"/>
      <c r="HA18" s="685"/>
      <c r="HB18" s="685"/>
      <c r="HC18" s="685"/>
      <c r="HD18" s="685"/>
      <c r="HE18" s="685"/>
      <c r="HF18" s="685"/>
      <c r="HG18" s="685"/>
      <c r="HH18" s="685"/>
      <c r="HI18" s="685"/>
      <c r="HJ18" s="685"/>
      <c r="HK18" s="685"/>
      <c r="HL18" s="685"/>
      <c r="HM18" s="685"/>
      <c r="HN18" s="685"/>
      <c r="HO18" s="685"/>
      <c r="HP18" s="685"/>
      <c r="HQ18" s="685"/>
      <c r="HR18" s="685"/>
      <c r="HS18" s="685"/>
      <c r="HT18" s="685"/>
      <c r="HU18" s="685"/>
      <c r="HV18" s="685"/>
      <c r="HW18" s="685"/>
      <c r="HX18" s="685"/>
      <c r="HY18" s="685"/>
      <c r="HZ18" s="685"/>
      <c r="IA18" s="685"/>
      <c r="IB18" s="685"/>
      <c r="IC18" s="685"/>
      <c r="ID18" s="685"/>
      <c r="IE18" s="685"/>
      <c r="IF18" s="685"/>
      <c r="IG18" s="685"/>
      <c r="IH18" s="685"/>
      <c r="II18" s="685"/>
      <c r="IJ18" s="685"/>
      <c r="IK18" s="685"/>
      <c r="IL18" s="685"/>
      <c r="IM18" s="685"/>
      <c r="IN18" s="685"/>
      <c r="IO18" s="685"/>
      <c r="IP18" s="685"/>
      <c r="IQ18" s="685"/>
      <c r="IR18" s="685"/>
      <c r="IS18" s="685"/>
      <c r="IT18" s="685"/>
      <c r="IU18" s="685"/>
      <c r="IV18" s="685"/>
    </row>
    <row r="19" spans="1:256" ht="20.100000000000001" customHeight="1">
      <c r="A19" s="683"/>
      <c r="B19" s="685"/>
      <c r="C19" s="685"/>
      <c r="D19" s="685"/>
      <c r="E19" s="685"/>
      <c r="F19" s="739"/>
      <c r="G19" s="737"/>
      <c r="H19" s="737"/>
      <c r="I19" s="737"/>
      <c r="J19" s="685"/>
      <c r="K19" s="685"/>
      <c r="L19" s="738"/>
      <c r="M19" s="1317"/>
      <c r="N19" s="1317"/>
      <c r="O19" s="1317"/>
      <c r="P19" s="1317"/>
      <c r="Q19" s="1317"/>
      <c r="R19" s="741"/>
      <c r="S19" s="685"/>
      <c r="T19" s="685"/>
      <c r="U19" s="685"/>
      <c r="V19" s="685"/>
      <c r="W19" s="685"/>
      <c r="X19" s="685"/>
      <c r="Y19" s="685"/>
      <c r="Z19" s="685"/>
      <c r="AA19" s="685"/>
      <c r="AB19" s="685"/>
      <c r="AC19" s="731"/>
      <c r="AD19" s="685"/>
      <c r="AE19" s="1321"/>
      <c r="AF19" s="1322"/>
      <c r="AG19" s="1323"/>
      <c r="AH19" s="746"/>
      <c r="AI19" s="685"/>
      <c r="AJ19" s="1321"/>
      <c r="AK19" s="1322"/>
      <c r="AL19" s="1323"/>
      <c r="AM19" s="746"/>
      <c r="AN19" s="685"/>
      <c r="AO19" s="685"/>
      <c r="AP19" s="685"/>
      <c r="AQ19" s="685"/>
      <c r="AR19" s="685"/>
      <c r="AS19" s="685"/>
      <c r="AT19" s="685"/>
      <c r="AU19" s="685"/>
      <c r="AV19" s="685"/>
      <c r="AW19" s="685"/>
      <c r="AX19" s="685"/>
      <c r="AY19" s="685"/>
      <c r="AZ19" s="685"/>
      <c r="BA19" s="685"/>
      <c r="BB19" s="685"/>
      <c r="BC19" s="685"/>
      <c r="BD19" s="685"/>
      <c r="BE19" s="685"/>
      <c r="BF19" s="685"/>
      <c r="BG19" s="685"/>
      <c r="BH19" s="685"/>
      <c r="BI19" s="685"/>
      <c r="BJ19" s="685"/>
      <c r="BK19" s="685"/>
      <c r="BL19" s="685"/>
      <c r="BM19" s="685"/>
      <c r="BN19" s="685"/>
      <c r="BO19" s="685"/>
      <c r="BP19" s="685"/>
      <c r="BQ19" s="685"/>
      <c r="BR19" s="685"/>
      <c r="BS19" s="685"/>
      <c r="BT19" s="685"/>
      <c r="BU19" s="685"/>
      <c r="BV19" s="685"/>
      <c r="BW19" s="685"/>
      <c r="BX19" s="685"/>
      <c r="BY19" s="685"/>
      <c r="BZ19" s="685"/>
      <c r="CA19" s="685"/>
      <c r="CB19" s="685"/>
      <c r="CC19" s="685"/>
      <c r="CD19" s="685"/>
      <c r="CE19" s="685"/>
      <c r="CF19" s="685"/>
      <c r="CG19" s="685"/>
      <c r="CH19" s="685"/>
      <c r="CI19" s="685"/>
      <c r="CJ19" s="685"/>
      <c r="CK19" s="685"/>
      <c r="CL19" s="685"/>
      <c r="CM19" s="685"/>
      <c r="CN19" s="685"/>
      <c r="CO19" s="685"/>
      <c r="CP19" s="685"/>
      <c r="CQ19" s="685"/>
      <c r="CR19" s="685"/>
      <c r="CS19" s="685"/>
      <c r="CT19" s="685"/>
      <c r="CU19" s="685"/>
      <c r="CV19" s="685"/>
      <c r="CW19" s="685"/>
      <c r="CX19" s="685"/>
      <c r="CY19" s="685"/>
      <c r="CZ19" s="685"/>
      <c r="DA19" s="685"/>
      <c r="DB19" s="685"/>
      <c r="DC19" s="685"/>
      <c r="DD19" s="685"/>
      <c r="DE19" s="685"/>
      <c r="DF19" s="685"/>
      <c r="DG19" s="685"/>
      <c r="DH19" s="685"/>
      <c r="DI19" s="685"/>
      <c r="DJ19" s="685"/>
      <c r="DK19" s="685"/>
      <c r="DL19" s="685"/>
      <c r="DM19" s="685"/>
      <c r="DN19" s="685"/>
      <c r="DO19" s="685"/>
      <c r="DP19" s="685"/>
      <c r="DQ19" s="685"/>
      <c r="DR19" s="685"/>
      <c r="DS19" s="685"/>
      <c r="DT19" s="685"/>
      <c r="DU19" s="685"/>
      <c r="DV19" s="685"/>
      <c r="DW19" s="685"/>
      <c r="DX19" s="685"/>
      <c r="DY19" s="685"/>
      <c r="DZ19" s="685"/>
      <c r="EA19" s="685"/>
      <c r="EB19" s="685"/>
      <c r="EC19" s="685"/>
      <c r="ED19" s="685"/>
      <c r="EE19" s="685"/>
      <c r="EF19" s="685"/>
      <c r="EG19" s="685"/>
      <c r="EH19" s="685"/>
      <c r="EI19" s="685"/>
      <c r="EJ19" s="685"/>
      <c r="EK19" s="685"/>
      <c r="EL19" s="685"/>
      <c r="EM19" s="685"/>
      <c r="EN19" s="685"/>
      <c r="EO19" s="685"/>
      <c r="EP19" s="685"/>
      <c r="EQ19" s="685"/>
      <c r="ER19" s="685"/>
      <c r="ES19" s="685"/>
      <c r="ET19" s="685"/>
      <c r="EU19" s="685"/>
      <c r="EV19" s="685"/>
      <c r="EW19" s="685"/>
      <c r="EX19" s="685"/>
      <c r="EY19" s="685"/>
      <c r="EZ19" s="685"/>
      <c r="FA19" s="685"/>
      <c r="FB19" s="685"/>
      <c r="FC19" s="685"/>
      <c r="FD19" s="685"/>
      <c r="FE19" s="685"/>
      <c r="FF19" s="685"/>
      <c r="FG19" s="685"/>
      <c r="FH19" s="685"/>
      <c r="FI19" s="685"/>
      <c r="FJ19" s="685"/>
      <c r="FK19" s="685"/>
      <c r="FL19" s="685"/>
      <c r="FM19" s="685"/>
      <c r="FN19" s="685"/>
      <c r="FO19" s="685"/>
      <c r="FP19" s="685"/>
      <c r="FQ19" s="685"/>
      <c r="FR19" s="685"/>
      <c r="FS19" s="685"/>
      <c r="FT19" s="685"/>
      <c r="FU19" s="685"/>
      <c r="FV19" s="685"/>
      <c r="FW19" s="685"/>
      <c r="FX19" s="685"/>
      <c r="FY19" s="685"/>
      <c r="FZ19" s="685"/>
      <c r="GA19" s="685"/>
      <c r="GB19" s="685"/>
      <c r="GC19" s="685"/>
      <c r="GD19" s="685"/>
      <c r="GE19" s="685"/>
      <c r="GF19" s="685"/>
      <c r="GG19" s="685"/>
      <c r="GH19" s="685"/>
      <c r="GI19" s="685"/>
      <c r="GJ19" s="685"/>
      <c r="GK19" s="685"/>
      <c r="GL19" s="685"/>
      <c r="GM19" s="685"/>
      <c r="GN19" s="685"/>
      <c r="GO19" s="685"/>
      <c r="GP19" s="685"/>
      <c r="GQ19" s="685"/>
      <c r="GR19" s="685"/>
      <c r="GS19" s="685"/>
      <c r="GT19" s="685"/>
      <c r="GU19" s="685"/>
      <c r="GV19" s="685"/>
      <c r="GW19" s="685"/>
      <c r="GX19" s="685"/>
      <c r="GY19" s="685"/>
      <c r="GZ19" s="685"/>
      <c r="HA19" s="685"/>
      <c r="HB19" s="685"/>
      <c r="HC19" s="685"/>
      <c r="HD19" s="685"/>
      <c r="HE19" s="685"/>
      <c r="HF19" s="685"/>
      <c r="HG19" s="685"/>
      <c r="HH19" s="685"/>
      <c r="HI19" s="685"/>
      <c r="HJ19" s="685"/>
      <c r="HK19" s="685"/>
      <c r="HL19" s="685"/>
      <c r="HM19" s="685"/>
      <c r="HN19" s="685"/>
      <c r="HO19" s="685"/>
      <c r="HP19" s="685"/>
      <c r="HQ19" s="685"/>
      <c r="HR19" s="685"/>
      <c r="HS19" s="685"/>
      <c r="HT19" s="685"/>
      <c r="HU19" s="685"/>
      <c r="HV19" s="685"/>
      <c r="HW19" s="685"/>
      <c r="HX19" s="685"/>
      <c r="HY19" s="685"/>
      <c r="HZ19" s="685"/>
      <c r="IA19" s="685"/>
      <c r="IB19" s="685"/>
      <c r="IC19" s="685"/>
      <c r="ID19" s="685"/>
      <c r="IE19" s="685"/>
      <c r="IF19" s="685"/>
      <c r="IG19" s="685"/>
      <c r="IH19" s="685"/>
      <c r="II19" s="685"/>
      <c r="IJ19" s="685"/>
      <c r="IK19" s="685"/>
      <c r="IL19" s="685"/>
      <c r="IM19" s="685"/>
      <c r="IN19" s="685"/>
      <c r="IO19" s="685"/>
      <c r="IP19" s="685"/>
      <c r="IQ19" s="685"/>
      <c r="IR19" s="685"/>
      <c r="IS19" s="685"/>
      <c r="IT19" s="685"/>
      <c r="IU19" s="685"/>
      <c r="IV19" s="685"/>
    </row>
    <row r="20" spans="1:256" ht="20.100000000000001" customHeight="1">
      <c r="A20" s="683"/>
      <c r="B20" s="685"/>
      <c r="C20" s="685"/>
      <c r="D20" s="685"/>
      <c r="E20" s="734" t="s">
        <v>804</v>
      </c>
      <c r="F20" s="734" t="s">
        <v>1087</v>
      </c>
      <c r="G20" s="734"/>
      <c r="H20" s="734"/>
      <c r="I20" s="734"/>
      <c r="J20" s="735"/>
      <c r="K20" s="735" t="s">
        <v>806</v>
      </c>
      <c r="L20" s="1316">
        <f>차수별용역비!D11</f>
        <v>4568441000</v>
      </c>
      <c r="M20" s="1316"/>
      <c r="N20" s="1316"/>
      <c r="O20" s="1316"/>
      <c r="P20" s="1316"/>
      <c r="Q20" s="736" t="str">
        <f>"(금"&amp;(NUMBERSTRING(L20,1))&amp;"원)"</f>
        <v>(금사십오억육천팔백사십사만일천원)</v>
      </c>
      <c r="R20" s="736"/>
      <c r="S20" s="736"/>
      <c r="T20" s="736"/>
      <c r="U20" s="736"/>
      <c r="V20" s="736"/>
      <c r="W20" s="736"/>
      <c r="X20" s="736"/>
      <c r="Y20" s="736"/>
      <c r="Z20" s="685"/>
      <c r="AA20" s="685"/>
      <c r="AB20" s="685"/>
      <c r="AC20" s="731"/>
      <c r="AD20" s="685"/>
      <c r="AE20" s="685"/>
      <c r="AF20" s="685"/>
      <c r="AG20" s="685"/>
      <c r="AH20" s="732"/>
      <c r="AI20" s="685"/>
      <c r="AJ20" s="685"/>
      <c r="AK20" s="685"/>
      <c r="AL20" s="685"/>
      <c r="AM20" s="685"/>
      <c r="AN20" s="685"/>
      <c r="AO20" s="685"/>
      <c r="AP20" s="685"/>
      <c r="AQ20" s="685"/>
      <c r="AR20" s="685"/>
      <c r="AS20" s="685"/>
      <c r="AT20" s="685"/>
      <c r="AU20" s="685"/>
      <c r="AV20" s="685"/>
      <c r="AW20" s="685"/>
      <c r="AX20" s="685"/>
      <c r="AY20" s="685"/>
      <c r="AZ20" s="685"/>
      <c r="BA20" s="685"/>
      <c r="BB20" s="685"/>
      <c r="BC20" s="685"/>
      <c r="BD20" s="685"/>
      <c r="BE20" s="685"/>
      <c r="BF20" s="685"/>
      <c r="BG20" s="685"/>
      <c r="BH20" s="685"/>
      <c r="BI20" s="685"/>
      <c r="BJ20" s="685"/>
      <c r="BK20" s="685"/>
      <c r="BL20" s="685"/>
      <c r="BM20" s="685"/>
      <c r="BN20" s="685"/>
      <c r="BO20" s="685"/>
      <c r="BP20" s="685"/>
      <c r="BQ20" s="685"/>
      <c r="BR20" s="685"/>
      <c r="BS20" s="685"/>
      <c r="BT20" s="685"/>
      <c r="BU20" s="685"/>
      <c r="BV20" s="685"/>
      <c r="BW20" s="685"/>
      <c r="BX20" s="685"/>
      <c r="BY20" s="685"/>
      <c r="BZ20" s="685"/>
      <c r="CA20" s="685"/>
      <c r="CB20" s="685"/>
      <c r="CC20" s="685"/>
      <c r="CD20" s="685"/>
      <c r="CE20" s="685"/>
      <c r="CF20" s="685"/>
      <c r="CG20" s="685"/>
      <c r="CH20" s="685"/>
      <c r="CI20" s="685"/>
      <c r="CJ20" s="685"/>
      <c r="CK20" s="685"/>
      <c r="CL20" s="685"/>
      <c r="CM20" s="685"/>
      <c r="CN20" s="685"/>
      <c r="CO20" s="685"/>
      <c r="CP20" s="685"/>
      <c r="CQ20" s="685"/>
      <c r="CR20" s="685"/>
      <c r="CS20" s="685"/>
      <c r="CT20" s="685"/>
      <c r="CU20" s="685"/>
      <c r="CV20" s="685"/>
      <c r="CW20" s="685"/>
      <c r="CX20" s="685"/>
      <c r="CY20" s="685"/>
      <c r="CZ20" s="685"/>
      <c r="DA20" s="685"/>
      <c r="DB20" s="685"/>
      <c r="DC20" s="685"/>
      <c r="DD20" s="685"/>
      <c r="DE20" s="685"/>
      <c r="DF20" s="685"/>
      <c r="DG20" s="685"/>
      <c r="DH20" s="685"/>
      <c r="DI20" s="685"/>
      <c r="DJ20" s="685"/>
      <c r="DK20" s="685"/>
      <c r="DL20" s="685"/>
      <c r="DM20" s="685"/>
      <c r="DN20" s="685"/>
      <c r="DO20" s="685"/>
      <c r="DP20" s="685"/>
      <c r="DQ20" s="685"/>
      <c r="DR20" s="685"/>
      <c r="DS20" s="685"/>
      <c r="DT20" s="685"/>
      <c r="DU20" s="685"/>
      <c r="DV20" s="685"/>
      <c r="DW20" s="685"/>
      <c r="DX20" s="685"/>
      <c r="DY20" s="685"/>
      <c r="DZ20" s="685"/>
      <c r="EA20" s="685"/>
      <c r="EB20" s="685"/>
      <c r="EC20" s="685"/>
      <c r="ED20" s="685"/>
      <c r="EE20" s="685"/>
      <c r="EF20" s="685"/>
      <c r="EG20" s="685"/>
      <c r="EH20" s="685"/>
      <c r="EI20" s="685"/>
      <c r="EJ20" s="685"/>
      <c r="EK20" s="685"/>
      <c r="EL20" s="685"/>
      <c r="EM20" s="685"/>
      <c r="EN20" s="685"/>
      <c r="EO20" s="685"/>
      <c r="EP20" s="685"/>
      <c r="EQ20" s="685"/>
      <c r="ER20" s="685"/>
      <c r="ES20" s="685"/>
      <c r="ET20" s="685"/>
      <c r="EU20" s="685"/>
      <c r="EV20" s="685"/>
      <c r="EW20" s="685"/>
      <c r="EX20" s="685"/>
      <c r="EY20" s="685"/>
      <c r="EZ20" s="685"/>
      <c r="FA20" s="685"/>
      <c r="FB20" s="685"/>
      <c r="FC20" s="685"/>
      <c r="FD20" s="685"/>
      <c r="FE20" s="685"/>
      <c r="FF20" s="685"/>
      <c r="FG20" s="685"/>
      <c r="FH20" s="685"/>
      <c r="FI20" s="685"/>
      <c r="FJ20" s="685"/>
      <c r="FK20" s="685"/>
      <c r="FL20" s="685"/>
      <c r="FM20" s="685"/>
      <c r="FN20" s="685"/>
      <c r="FO20" s="685"/>
      <c r="FP20" s="685"/>
      <c r="FQ20" s="685"/>
      <c r="FR20" s="685"/>
      <c r="FS20" s="685"/>
      <c r="FT20" s="685"/>
      <c r="FU20" s="685"/>
      <c r="FV20" s="685"/>
      <c r="FW20" s="685"/>
      <c r="FX20" s="685"/>
      <c r="FY20" s="685"/>
      <c r="FZ20" s="685"/>
      <c r="GA20" s="685"/>
      <c r="GB20" s="685"/>
      <c r="GC20" s="685"/>
      <c r="GD20" s="685"/>
      <c r="GE20" s="685"/>
      <c r="GF20" s="685"/>
      <c r="GG20" s="685"/>
      <c r="GH20" s="685"/>
      <c r="GI20" s="685"/>
      <c r="GJ20" s="685"/>
      <c r="GK20" s="685"/>
      <c r="GL20" s="685"/>
      <c r="GM20" s="685"/>
      <c r="GN20" s="685"/>
      <c r="GO20" s="685"/>
      <c r="GP20" s="685"/>
      <c r="GQ20" s="685"/>
      <c r="GR20" s="685"/>
      <c r="GS20" s="685"/>
      <c r="GT20" s="685"/>
      <c r="GU20" s="685"/>
      <c r="GV20" s="685"/>
      <c r="GW20" s="685"/>
      <c r="GX20" s="685"/>
      <c r="GY20" s="685"/>
      <c r="GZ20" s="685"/>
      <c r="HA20" s="685"/>
      <c r="HB20" s="685"/>
      <c r="HC20" s="685"/>
      <c r="HD20" s="685"/>
      <c r="HE20" s="685"/>
      <c r="HF20" s="685"/>
      <c r="HG20" s="685"/>
      <c r="HH20" s="685"/>
      <c r="HI20" s="685"/>
      <c r="HJ20" s="685"/>
      <c r="HK20" s="685"/>
      <c r="HL20" s="685"/>
      <c r="HM20" s="685"/>
      <c r="HN20" s="685"/>
      <c r="HO20" s="685"/>
      <c r="HP20" s="685"/>
      <c r="HQ20" s="685"/>
      <c r="HR20" s="685"/>
      <c r="HS20" s="685"/>
      <c r="HT20" s="685"/>
      <c r="HU20" s="685"/>
      <c r="HV20" s="685"/>
      <c r="HW20" s="685"/>
      <c r="HX20" s="685"/>
      <c r="HY20" s="685"/>
      <c r="HZ20" s="685"/>
      <c r="IA20" s="685"/>
      <c r="IB20" s="685"/>
      <c r="IC20" s="685"/>
      <c r="ID20" s="685"/>
      <c r="IE20" s="685"/>
      <c r="IF20" s="685"/>
      <c r="IG20" s="685"/>
      <c r="IH20" s="685"/>
      <c r="II20" s="685"/>
      <c r="IJ20" s="685"/>
      <c r="IK20" s="685"/>
      <c r="IL20" s="685"/>
      <c r="IM20" s="685"/>
      <c r="IN20" s="685"/>
      <c r="IO20" s="685"/>
      <c r="IP20" s="685"/>
      <c r="IQ20" s="685"/>
      <c r="IR20" s="685"/>
      <c r="IS20" s="685"/>
      <c r="IT20" s="685"/>
      <c r="IU20" s="685"/>
      <c r="IV20" s="685"/>
    </row>
    <row r="21" spans="1:256" ht="20.100000000000001" customHeight="1">
      <c r="A21" s="683"/>
      <c r="B21" s="685"/>
      <c r="C21" s="685"/>
      <c r="D21" s="685"/>
      <c r="E21" s="685"/>
      <c r="F21" s="739"/>
      <c r="G21" s="737"/>
      <c r="H21" s="737"/>
      <c r="I21" s="737"/>
      <c r="J21" s="685"/>
      <c r="K21" s="685"/>
      <c r="L21" s="738"/>
      <c r="M21" s="1317"/>
      <c r="N21" s="1317"/>
      <c r="O21" s="1317"/>
      <c r="P21" s="1317"/>
      <c r="Q21" s="1317"/>
      <c r="R21" s="741"/>
      <c r="S21" s="685"/>
      <c r="T21" s="685"/>
      <c r="U21" s="685"/>
      <c r="V21" s="685"/>
      <c r="W21" s="685"/>
      <c r="X21" s="685"/>
      <c r="Y21" s="685"/>
      <c r="Z21" s="685"/>
      <c r="AA21" s="685"/>
      <c r="AB21" s="685"/>
      <c r="AC21" s="731"/>
      <c r="AD21" s="685"/>
      <c r="AE21" s="1318"/>
      <c r="AF21" s="1319"/>
      <c r="AG21" s="1320"/>
      <c r="AH21" s="745"/>
      <c r="AI21" s="685"/>
      <c r="AJ21" s="1318"/>
      <c r="AK21" s="1319"/>
      <c r="AL21" s="1320"/>
      <c r="AM21" s="745"/>
      <c r="AN21" s="685"/>
      <c r="AO21" s="685"/>
      <c r="AP21" s="685"/>
      <c r="AQ21" s="685"/>
      <c r="AR21" s="685"/>
      <c r="AS21" s="685"/>
      <c r="AT21" s="685"/>
      <c r="AU21" s="685"/>
      <c r="AV21" s="685"/>
      <c r="AW21" s="685"/>
      <c r="AX21" s="685"/>
      <c r="AY21" s="685"/>
      <c r="AZ21" s="685"/>
      <c r="BA21" s="685"/>
      <c r="BB21" s="685"/>
      <c r="BC21" s="685"/>
      <c r="BD21" s="685"/>
      <c r="BE21" s="685"/>
      <c r="BF21" s="685"/>
      <c r="BG21" s="685"/>
      <c r="BH21" s="685"/>
      <c r="BI21" s="685"/>
      <c r="BJ21" s="685"/>
      <c r="BK21" s="685"/>
      <c r="BL21" s="685"/>
      <c r="BM21" s="685"/>
      <c r="BN21" s="685"/>
      <c r="BO21" s="685"/>
      <c r="BP21" s="685"/>
      <c r="BQ21" s="685"/>
      <c r="BR21" s="685"/>
      <c r="BS21" s="685"/>
      <c r="BT21" s="685"/>
      <c r="BU21" s="685"/>
      <c r="BV21" s="685"/>
      <c r="BW21" s="685"/>
      <c r="BX21" s="685"/>
      <c r="BY21" s="685"/>
      <c r="BZ21" s="685"/>
      <c r="CA21" s="685"/>
      <c r="CB21" s="685"/>
      <c r="CC21" s="685"/>
      <c r="CD21" s="685"/>
      <c r="CE21" s="685"/>
      <c r="CF21" s="685"/>
      <c r="CG21" s="685"/>
      <c r="CH21" s="685"/>
      <c r="CI21" s="685"/>
      <c r="CJ21" s="685"/>
      <c r="CK21" s="685"/>
      <c r="CL21" s="685"/>
      <c r="CM21" s="685"/>
      <c r="CN21" s="685"/>
      <c r="CO21" s="685"/>
      <c r="CP21" s="685"/>
      <c r="CQ21" s="685"/>
      <c r="CR21" s="685"/>
      <c r="CS21" s="685"/>
      <c r="CT21" s="685"/>
      <c r="CU21" s="685"/>
      <c r="CV21" s="685"/>
      <c r="CW21" s="685"/>
      <c r="CX21" s="685"/>
      <c r="CY21" s="685"/>
      <c r="CZ21" s="685"/>
      <c r="DA21" s="685"/>
      <c r="DB21" s="685"/>
      <c r="DC21" s="685"/>
      <c r="DD21" s="685"/>
      <c r="DE21" s="685"/>
      <c r="DF21" s="685"/>
      <c r="DG21" s="685"/>
      <c r="DH21" s="685"/>
      <c r="DI21" s="685"/>
      <c r="DJ21" s="685"/>
      <c r="DK21" s="685"/>
      <c r="DL21" s="685"/>
      <c r="DM21" s="685"/>
      <c r="DN21" s="685"/>
      <c r="DO21" s="685"/>
      <c r="DP21" s="685"/>
      <c r="DQ21" s="685"/>
      <c r="DR21" s="685"/>
      <c r="DS21" s="685"/>
      <c r="DT21" s="685"/>
      <c r="DU21" s="685"/>
      <c r="DV21" s="685"/>
      <c r="DW21" s="685"/>
      <c r="DX21" s="685"/>
      <c r="DY21" s="685"/>
      <c r="DZ21" s="685"/>
      <c r="EA21" s="685"/>
      <c r="EB21" s="685"/>
      <c r="EC21" s="685"/>
      <c r="ED21" s="685"/>
      <c r="EE21" s="685"/>
      <c r="EF21" s="685"/>
      <c r="EG21" s="685"/>
      <c r="EH21" s="685"/>
      <c r="EI21" s="685"/>
      <c r="EJ21" s="685"/>
      <c r="EK21" s="685"/>
      <c r="EL21" s="685"/>
      <c r="EM21" s="685"/>
      <c r="EN21" s="685"/>
      <c r="EO21" s="685"/>
      <c r="EP21" s="685"/>
      <c r="EQ21" s="685"/>
      <c r="ER21" s="685"/>
      <c r="ES21" s="685"/>
      <c r="ET21" s="685"/>
      <c r="EU21" s="685"/>
      <c r="EV21" s="685"/>
      <c r="EW21" s="685"/>
      <c r="EX21" s="685"/>
      <c r="EY21" s="685"/>
      <c r="EZ21" s="685"/>
      <c r="FA21" s="685"/>
      <c r="FB21" s="685"/>
      <c r="FC21" s="685"/>
      <c r="FD21" s="685"/>
      <c r="FE21" s="685"/>
      <c r="FF21" s="685"/>
      <c r="FG21" s="685"/>
      <c r="FH21" s="685"/>
      <c r="FI21" s="685"/>
      <c r="FJ21" s="685"/>
      <c r="FK21" s="685"/>
      <c r="FL21" s="685"/>
      <c r="FM21" s="685"/>
      <c r="FN21" s="685"/>
      <c r="FO21" s="685"/>
      <c r="FP21" s="685"/>
      <c r="FQ21" s="685"/>
      <c r="FR21" s="685"/>
      <c r="FS21" s="685"/>
      <c r="FT21" s="685"/>
      <c r="FU21" s="685"/>
      <c r="FV21" s="685"/>
      <c r="FW21" s="685"/>
      <c r="FX21" s="685"/>
      <c r="FY21" s="685"/>
      <c r="FZ21" s="685"/>
      <c r="GA21" s="685"/>
      <c r="GB21" s="685"/>
      <c r="GC21" s="685"/>
      <c r="GD21" s="685"/>
      <c r="GE21" s="685"/>
      <c r="GF21" s="685"/>
      <c r="GG21" s="685"/>
      <c r="GH21" s="685"/>
      <c r="GI21" s="685"/>
      <c r="GJ21" s="685"/>
      <c r="GK21" s="685"/>
      <c r="GL21" s="685"/>
      <c r="GM21" s="685"/>
      <c r="GN21" s="685"/>
      <c r="GO21" s="685"/>
      <c r="GP21" s="685"/>
      <c r="GQ21" s="685"/>
      <c r="GR21" s="685"/>
      <c r="GS21" s="685"/>
      <c r="GT21" s="685"/>
      <c r="GU21" s="685"/>
      <c r="GV21" s="685"/>
      <c r="GW21" s="685"/>
      <c r="GX21" s="685"/>
      <c r="GY21" s="685"/>
      <c r="GZ21" s="685"/>
      <c r="HA21" s="685"/>
      <c r="HB21" s="685"/>
      <c r="HC21" s="685"/>
      <c r="HD21" s="685"/>
      <c r="HE21" s="685"/>
      <c r="HF21" s="685"/>
      <c r="HG21" s="685"/>
      <c r="HH21" s="685"/>
      <c r="HI21" s="685"/>
      <c r="HJ21" s="685"/>
      <c r="HK21" s="685"/>
      <c r="HL21" s="685"/>
      <c r="HM21" s="685"/>
      <c r="HN21" s="685"/>
      <c r="HO21" s="685"/>
      <c r="HP21" s="685"/>
      <c r="HQ21" s="685"/>
      <c r="HR21" s="685"/>
      <c r="HS21" s="685"/>
      <c r="HT21" s="685"/>
      <c r="HU21" s="685"/>
      <c r="HV21" s="685"/>
      <c r="HW21" s="685"/>
      <c r="HX21" s="685"/>
      <c r="HY21" s="685"/>
      <c r="HZ21" s="685"/>
      <c r="IA21" s="685"/>
      <c r="IB21" s="685"/>
      <c r="IC21" s="685"/>
      <c r="ID21" s="685"/>
      <c r="IE21" s="685"/>
      <c r="IF21" s="685"/>
      <c r="IG21" s="685"/>
      <c r="IH21" s="685"/>
      <c r="II21" s="685"/>
      <c r="IJ21" s="685"/>
      <c r="IK21" s="685"/>
      <c r="IL21" s="685"/>
      <c r="IM21" s="685"/>
      <c r="IN21" s="685"/>
      <c r="IO21" s="685"/>
      <c r="IP21" s="685"/>
      <c r="IQ21" s="685"/>
      <c r="IR21" s="685"/>
      <c r="IS21" s="685"/>
      <c r="IT21" s="685"/>
      <c r="IU21" s="685"/>
      <c r="IV21" s="685"/>
    </row>
    <row r="22" spans="1:256" ht="20.100000000000001" customHeight="1">
      <c r="A22" s="683"/>
      <c r="B22" s="685"/>
      <c r="C22" s="685"/>
      <c r="D22" s="685"/>
      <c r="E22" s="685"/>
      <c r="F22" s="739"/>
      <c r="G22" s="737"/>
      <c r="H22" s="737"/>
      <c r="I22" s="737"/>
      <c r="J22" s="685"/>
      <c r="K22" s="685"/>
      <c r="L22" s="738"/>
      <c r="M22" s="1317"/>
      <c r="N22" s="1317"/>
      <c r="O22" s="1317"/>
      <c r="P22" s="1317"/>
      <c r="Q22" s="1317"/>
      <c r="R22" s="741"/>
      <c r="S22" s="685"/>
      <c r="T22" s="685"/>
      <c r="U22" s="685"/>
      <c r="V22" s="685"/>
      <c r="W22" s="685"/>
      <c r="X22" s="685"/>
      <c r="Y22" s="685"/>
      <c r="Z22" s="685"/>
      <c r="AA22" s="685"/>
      <c r="AB22" s="685"/>
      <c r="AC22" s="731"/>
      <c r="AD22" s="685"/>
      <c r="AE22" s="1321"/>
      <c r="AF22" s="1322"/>
      <c r="AG22" s="1323"/>
      <c r="AH22" s="746"/>
      <c r="AI22" s="685"/>
      <c r="AJ22" s="1321"/>
      <c r="AK22" s="1322"/>
      <c r="AL22" s="1323"/>
      <c r="AM22" s="746"/>
      <c r="AN22" s="685"/>
      <c r="AO22" s="685"/>
      <c r="AP22" s="685"/>
      <c r="AQ22" s="685"/>
      <c r="AR22" s="685"/>
      <c r="AS22" s="685"/>
      <c r="AT22" s="685"/>
      <c r="AU22" s="685"/>
      <c r="AV22" s="685"/>
      <c r="AW22" s="685"/>
      <c r="AX22" s="685"/>
      <c r="AY22" s="685"/>
      <c r="AZ22" s="685"/>
      <c r="BA22" s="685"/>
      <c r="BB22" s="685"/>
      <c r="BC22" s="685"/>
      <c r="BD22" s="685"/>
      <c r="BE22" s="685"/>
      <c r="BF22" s="685"/>
      <c r="BG22" s="685"/>
      <c r="BH22" s="685"/>
      <c r="BI22" s="685"/>
      <c r="BJ22" s="685"/>
      <c r="BK22" s="685"/>
      <c r="BL22" s="685"/>
      <c r="BM22" s="685"/>
      <c r="BN22" s="685"/>
      <c r="BO22" s="685"/>
      <c r="BP22" s="685"/>
      <c r="BQ22" s="685"/>
      <c r="BR22" s="685"/>
      <c r="BS22" s="685"/>
      <c r="BT22" s="685"/>
      <c r="BU22" s="685"/>
      <c r="BV22" s="685"/>
      <c r="BW22" s="685"/>
      <c r="BX22" s="685"/>
      <c r="BY22" s="685"/>
      <c r="BZ22" s="685"/>
      <c r="CA22" s="685"/>
      <c r="CB22" s="685"/>
      <c r="CC22" s="685"/>
      <c r="CD22" s="685"/>
      <c r="CE22" s="685"/>
      <c r="CF22" s="685"/>
      <c r="CG22" s="685"/>
      <c r="CH22" s="685"/>
      <c r="CI22" s="685"/>
      <c r="CJ22" s="685"/>
      <c r="CK22" s="685"/>
      <c r="CL22" s="685"/>
      <c r="CM22" s="685"/>
      <c r="CN22" s="685"/>
      <c r="CO22" s="685"/>
      <c r="CP22" s="685"/>
      <c r="CQ22" s="685"/>
      <c r="CR22" s="685"/>
      <c r="CS22" s="685"/>
      <c r="CT22" s="685"/>
      <c r="CU22" s="685"/>
      <c r="CV22" s="685"/>
      <c r="CW22" s="685"/>
      <c r="CX22" s="685"/>
      <c r="CY22" s="685"/>
      <c r="CZ22" s="685"/>
      <c r="DA22" s="685"/>
      <c r="DB22" s="685"/>
      <c r="DC22" s="685"/>
      <c r="DD22" s="685"/>
      <c r="DE22" s="685"/>
      <c r="DF22" s="685"/>
      <c r="DG22" s="685"/>
      <c r="DH22" s="685"/>
      <c r="DI22" s="685"/>
      <c r="DJ22" s="685"/>
      <c r="DK22" s="685"/>
      <c r="DL22" s="685"/>
      <c r="DM22" s="685"/>
      <c r="DN22" s="685"/>
      <c r="DO22" s="685"/>
      <c r="DP22" s="685"/>
      <c r="DQ22" s="685"/>
      <c r="DR22" s="685"/>
      <c r="DS22" s="685"/>
      <c r="DT22" s="685"/>
      <c r="DU22" s="685"/>
      <c r="DV22" s="685"/>
      <c r="DW22" s="685"/>
      <c r="DX22" s="685"/>
      <c r="DY22" s="685"/>
      <c r="DZ22" s="685"/>
      <c r="EA22" s="685"/>
      <c r="EB22" s="685"/>
      <c r="EC22" s="685"/>
      <c r="ED22" s="685"/>
      <c r="EE22" s="685"/>
      <c r="EF22" s="685"/>
      <c r="EG22" s="685"/>
      <c r="EH22" s="685"/>
      <c r="EI22" s="685"/>
      <c r="EJ22" s="685"/>
      <c r="EK22" s="685"/>
      <c r="EL22" s="685"/>
      <c r="EM22" s="685"/>
      <c r="EN22" s="685"/>
      <c r="EO22" s="685"/>
      <c r="EP22" s="685"/>
      <c r="EQ22" s="685"/>
      <c r="ER22" s="685"/>
      <c r="ES22" s="685"/>
      <c r="ET22" s="685"/>
      <c r="EU22" s="685"/>
      <c r="EV22" s="685"/>
      <c r="EW22" s="685"/>
      <c r="EX22" s="685"/>
      <c r="EY22" s="685"/>
      <c r="EZ22" s="685"/>
      <c r="FA22" s="685"/>
      <c r="FB22" s="685"/>
      <c r="FC22" s="685"/>
      <c r="FD22" s="685"/>
      <c r="FE22" s="685"/>
      <c r="FF22" s="685"/>
      <c r="FG22" s="685"/>
      <c r="FH22" s="685"/>
      <c r="FI22" s="685"/>
      <c r="FJ22" s="685"/>
      <c r="FK22" s="685"/>
      <c r="FL22" s="685"/>
      <c r="FM22" s="685"/>
      <c r="FN22" s="685"/>
      <c r="FO22" s="685"/>
      <c r="FP22" s="685"/>
      <c r="FQ22" s="685"/>
      <c r="FR22" s="685"/>
      <c r="FS22" s="685"/>
      <c r="FT22" s="685"/>
      <c r="FU22" s="685"/>
      <c r="FV22" s="685"/>
      <c r="FW22" s="685"/>
      <c r="FX22" s="685"/>
      <c r="FY22" s="685"/>
      <c r="FZ22" s="685"/>
      <c r="GA22" s="685"/>
      <c r="GB22" s="685"/>
      <c r="GC22" s="685"/>
      <c r="GD22" s="685"/>
      <c r="GE22" s="685"/>
      <c r="GF22" s="685"/>
      <c r="GG22" s="685"/>
      <c r="GH22" s="685"/>
      <c r="GI22" s="685"/>
      <c r="GJ22" s="685"/>
      <c r="GK22" s="685"/>
      <c r="GL22" s="685"/>
      <c r="GM22" s="685"/>
      <c r="GN22" s="685"/>
      <c r="GO22" s="685"/>
      <c r="GP22" s="685"/>
      <c r="GQ22" s="685"/>
      <c r="GR22" s="685"/>
      <c r="GS22" s="685"/>
      <c r="GT22" s="685"/>
      <c r="GU22" s="685"/>
      <c r="GV22" s="685"/>
      <c r="GW22" s="685"/>
      <c r="GX22" s="685"/>
      <c r="GY22" s="685"/>
      <c r="GZ22" s="685"/>
      <c r="HA22" s="685"/>
      <c r="HB22" s="685"/>
      <c r="HC22" s="685"/>
      <c r="HD22" s="685"/>
      <c r="HE22" s="685"/>
      <c r="HF22" s="685"/>
      <c r="HG22" s="685"/>
      <c r="HH22" s="685"/>
      <c r="HI22" s="685"/>
      <c r="HJ22" s="685"/>
      <c r="HK22" s="685"/>
      <c r="HL22" s="685"/>
      <c r="HM22" s="685"/>
      <c r="HN22" s="685"/>
      <c r="HO22" s="685"/>
      <c r="HP22" s="685"/>
      <c r="HQ22" s="685"/>
      <c r="HR22" s="685"/>
      <c r="HS22" s="685"/>
      <c r="HT22" s="685"/>
      <c r="HU22" s="685"/>
      <c r="HV22" s="685"/>
      <c r="HW22" s="685"/>
      <c r="HX22" s="685"/>
      <c r="HY22" s="685"/>
      <c r="HZ22" s="685"/>
      <c r="IA22" s="685"/>
      <c r="IB22" s="685"/>
      <c r="IC22" s="685"/>
      <c r="ID22" s="685"/>
      <c r="IE22" s="685"/>
      <c r="IF22" s="685"/>
      <c r="IG22" s="685"/>
      <c r="IH22" s="685"/>
      <c r="II22" s="685"/>
      <c r="IJ22" s="685"/>
      <c r="IK22" s="685"/>
      <c r="IL22" s="685"/>
      <c r="IM22" s="685"/>
      <c r="IN22" s="685"/>
      <c r="IO22" s="685"/>
      <c r="IP22" s="685"/>
      <c r="IQ22" s="685"/>
      <c r="IR22" s="685"/>
      <c r="IS22" s="685"/>
      <c r="IT22" s="685"/>
      <c r="IU22" s="685"/>
      <c r="IV22" s="685"/>
    </row>
    <row r="23" spans="1:256" ht="20.100000000000001" customHeight="1">
      <c r="A23" s="683"/>
      <c r="B23" s="685"/>
      <c r="C23" s="685"/>
      <c r="D23" s="685"/>
      <c r="E23" s="734"/>
      <c r="F23" s="734"/>
      <c r="G23" s="734"/>
      <c r="H23" s="734"/>
      <c r="I23" s="734"/>
      <c r="J23" s="735"/>
      <c r="K23" s="735"/>
      <c r="L23" s="1316"/>
      <c r="M23" s="1316"/>
      <c r="N23" s="1316"/>
      <c r="O23" s="1316"/>
      <c r="P23" s="1316"/>
      <c r="Q23" s="736"/>
      <c r="R23" s="736"/>
      <c r="S23" s="736"/>
      <c r="T23" s="736"/>
      <c r="U23" s="736"/>
      <c r="V23" s="736"/>
      <c r="W23" s="736"/>
      <c r="X23" s="736"/>
      <c r="Y23" s="736"/>
      <c r="Z23" s="685"/>
      <c r="AA23" s="685"/>
      <c r="AB23" s="685"/>
      <c r="AC23" s="731"/>
      <c r="AD23" s="685"/>
      <c r="AE23" s="1318"/>
      <c r="AF23" s="1319"/>
      <c r="AG23" s="1320"/>
      <c r="AH23" s="745"/>
      <c r="AI23" s="685"/>
      <c r="AJ23" s="1318"/>
      <c r="AK23" s="1319"/>
      <c r="AL23" s="1320"/>
      <c r="AM23" s="745"/>
      <c r="AN23" s="685"/>
      <c r="AO23" s="685"/>
      <c r="AP23" s="685"/>
      <c r="AQ23" s="685"/>
      <c r="AR23" s="685"/>
      <c r="AS23" s="685"/>
      <c r="AT23" s="685"/>
      <c r="AU23" s="685"/>
      <c r="AV23" s="685"/>
      <c r="AW23" s="685"/>
      <c r="AX23" s="685"/>
      <c r="AY23" s="685"/>
      <c r="AZ23" s="685"/>
      <c r="BA23" s="685"/>
      <c r="BB23" s="685"/>
      <c r="BC23" s="685"/>
      <c r="BD23" s="685"/>
      <c r="BE23" s="685"/>
      <c r="BF23" s="685"/>
      <c r="BG23" s="685"/>
      <c r="BH23" s="685"/>
      <c r="BI23" s="685"/>
      <c r="BJ23" s="685"/>
      <c r="BK23" s="685"/>
      <c r="BL23" s="685"/>
      <c r="BM23" s="685"/>
      <c r="BN23" s="685"/>
      <c r="BO23" s="685"/>
      <c r="BP23" s="685"/>
      <c r="BQ23" s="685"/>
      <c r="BR23" s="685"/>
      <c r="BS23" s="685"/>
      <c r="BT23" s="685"/>
      <c r="BU23" s="685"/>
      <c r="BV23" s="685"/>
      <c r="BW23" s="685"/>
      <c r="BX23" s="685"/>
      <c r="BY23" s="685"/>
      <c r="BZ23" s="685"/>
      <c r="CA23" s="685"/>
      <c r="CB23" s="685"/>
      <c r="CC23" s="685"/>
      <c r="CD23" s="685"/>
      <c r="CE23" s="685"/>
      <c r="CF23" s="685"/>
      <c r="CG23" s="685"/>
      <c r="CH23" s="685"/>
      <c r="CI23" s="685"/>
      <c r="CJ23" s="685"/>
      <c r="CK23" s="685"/>
      <c r="CL23" s="685"/>
      <c r="CM23" s="685"/>
      <c r="CN23" s="685"/>
      <c r="CO23" s="685"/>
      <c r="CP23" s="685"/>
      <c r="CQ23" s="685"/>
      <c r="CR23" s="685"/>
      <c r="CS23" s="685"/>
      <c r="CT23" s="685"/>
      <c r="CU23" s="685"/>
      <c r="CV23" s="685"/>
      <c r="CW23" s="685"/>
      <c r="CX23" s="685"/>
      <c r="CY23" s="685"/>
      <c r="CZ23" s="685"/>
      <c r="DA23" s="685"/>
      <c r="DB23" s="685"/>
      <c r="DC23" s="685"/>
      <c r="DD23" s="685"/>
      <c r="DE23" s="685"/>
      <c r="DF23" s="685"/>
      <c r="DG23" s="685"/>
      <c r="DH23" s="685"/>
      <c r="DI23" s="685"/>
      <c r="DJ23" s="685"/>
      <c r="DK23" s="685"/>
      <c r="DL23" s="685"/>
      <c r="DM23" s="685"/>
      <c r="DN23" s="685"/>
      <c r="DO23" s="685"/>
      <c r="DP23" s="685"/>
      <c r="DQ23" s="685"/>
      <c r="DR23" s="685"/>
      <c r="DS23" s="685"/>
      <c r="DT23" s="685"/>
      <c r="DU23" s="685"/>
      <c r="DV23" s="685"/>
      <c r="DW23" s="685"/>
      <c r="DX23" s="685"/>
      <c r="DY23" s="685"/>
      <c r="DZ23" s="685"/>
      <c r="EA23" s="685"/>
      <c r="EB23" s="685"/>
      <c r="EC23" s="685"/>
      <c r="ED23" s="685"/>
      <c r="EE23" s="685"/>
      <c r="EF23" s="685"/>
      <c r="EG23" s="685"/>
      <c r="EH23" s="685"/>
      <c r="EI23" s="685"/>
      <c r="EJ23" s="685"/>
      <c r="EK23" s="685"/>
      <c r="EL23" s="685"/>
      <c r="EM23" s="685"/>
      <c r="EN23" s="685"/>
      <c r="EO23" s="685"/>
      <c r="EP23" s="685"/>
      <c r="EQ23" s="685"/>
      <c r="ER23" s="685"/>
      <c r="ES23" s="685"/>
      <c r="ET23" s="685"/>
      <c r="EU23" s="685"/>
      <c r="EV23" s="685"/>
      <c r="EW23" s="685"/>
      <c r="EX23" s="685"/>
      <c r="EY23" s="685"/>
      <c r="EZ23" s="685"/>
      <c r="FA23" s="685"/>
      <c r="FB23" s="685"/>
      <c r="FC23" s="685"/>
      <c r="FD23" s="685"/>
      <c r="FE23" s="685"/>
      <c r="FF23" s="685"/>
      <c r="FG23" s="685"/>
      <c r="FH23" s="685"/>
      <c r="FI23" s="685"/>
      <c r="FJ23" s="685"/>
      <c r="FK23" s="685"/>
      <c r="FL23" s="685"/>
      <c r="FM23" s="685"/>
      <c r="FN23" s="685"/>
      <c r="FO23" s="685"/>
      <c r="FP23" s="685"/>
      <c r="FQ23" s="685"/>
      <c r="FR23" s="685"/>
      <c r="FS23" s="685"/>
      <c r="FT23" s="685"/>
      <c r="FU23" s="685"/>
      <c r="FV23" s="685"/>
      <c r="FW23" s="685"/>
      <c r="FX23" s="685"/>
      <c r="FY23" s="685"/>
      <c r="FZ23" s="685"/>
      <c r="GA23" s="685"/>
      <c r="GB23" s="685"/>
      <c r="GC23" s="685"/>
      <c r="GD23" s="685"/>
      <c r="GE23" s="685"/>
      <c r="GF23" s="685"/>
      <c r="GG23" s="685"/>
      <c r="GH23" s="685"/>
      <c r="GI23" s="685"/>
      <c r="GJ23" s="685"/>
      <c r="GK23" s="685"/>
      <c r="GL23" s="685"/>
      <c r="GM23" s="685"/>
      <c r="GN23" s="685"/>
      <c r="GO23" s="685"/>
      <c r="GP23" s="685"/>
      <c r="GQ23" s="685"/>
      <c r="GR23" s="685"/>
      <c r="GS23" s="685"/>
      <c r="GT23" s="685"/>
      <c r="GU23" s="685"/>
      <c r="GV23" s="685"/>
      <c r="GW23" s="685"/>
      <c r="GX23" s="685"/>
      <c r="GY23" s="685"/>
      <c r="GZ23" s="685"/>
      <c r="HA23" s="685"/>
      <c r="HB23" s="685"/>
      <c r="HC23" s="685"/>
      <c r="HD23" s="685"/>
      <c r="HE23" s="685"/>
      <c r="HF23" s="685"/>
      <c r="HG23" s="685"/>
      <c r="HH23" s="685"/>
      <c r="HI23" s="685"/>
      <c r="HJ23" s="685"/>
      <c r="HK23" s="685"/>
      <c r="HL23" s="685"/>
      <c r="HM23" s="685"/>
      <c r="HN23" s="685"/>
      <c r="HO23" s="685"/>
      <c r="HP23" s="685"/>
      <c r="HQ23" s="685"/>
      <c r="HR23" s="685"/>
      <c r="HS23" s="685"/>
      <c r="HT23" s="685"/>
      <c r="HU23" s="685"/>
      <c r="HV23" s="685"/>
      <c r="HW23" s="685"/>
      <c r="HX23" s="685"/>
      <c r="HY23" s="685"/>
      <c r="HZ23" s="685"/>
      <c r="IA23" s="685"/>
      <c r="IB23" s="685"/>
      <c r="IC23" s="685"/>
      <c r="ID23" s="685"/>
      <c r="IE23" s="685"/>
      <c r="IF23" s="685"/>
      <c r="IG23" s="685"/>
      <c r="IH23" s="685"/>
      <c r="II23" s="685"/>
      <c r="IJ23" s="685"/>
      <c r="IK23" s="685"/>
      <c r="IL23" s="685"/>
      <c r="IM23" s="685"/>
      <c r="IN23" s="685"/>
      <c r="IO23" s="685"/>
      <c r="IP23" s="685"/>
      <c r="IQ23" s="685"/>
      <c r="IR23" s="685"/>
      <c r="IS23" s="685"/>
      <c r="IT23" s="685"/>
      <c r="IU23" s="685"/>
      <c r="IV23" s="685"/>
    </row>
    <row r="24" spans="1:256" ht="20.100000000000001" customHeight="1">
      <c r="A24" s="683"/>
      <c r="B24" s="685"/>
      <c r="C24" s="685"/>
      <c r="D24" s="685"/>
      <c r="E24" s="685"/>
      <c r="F24" s="739"/>
      <c r="G24" s="737"/>
      <c r="H24" s="737"/>
      <c r="I24" s="737"/>
      <c r="J24" s="685"/>
      <c r="K24" s="685"/>
      <c r="L24" s="738"/>
      <c r="M24" s="1317"/>
      <c r="N24" s="1317"/>
      <c r="O24" s="1317"/>
      <c r="P24" s="1317"/>
      <c r="Q24" s="1317"/>
      <c r="R24" s="741"/>
      <c r="S24" s="685"/>
      <c r="T24" s="685"/>
      <c r="U24" s="685"/>
      <c r="V24" s="685"/>
      <c r="W24" s="685"/>
      <c r="X24" s="685"/>
      <c r="Y24" s="685"/>
      <c r="Z24" s="685"/>
      <c r="AA24" s="685"/>
      <c r="AB24" s="685"/>
      <c r="AC24" s="731"/>
      <c r="AD24" s="685"/>
      <c r="AE24" s="1321"/>
      <c r="AF24" s="1322"/>
      <c r="AG24" s="1323"/>
      <c r="AH24" s="746"/>
      <c r="AI24" s="685"/>
      <c r="AJ24" s="1321"/>
      <c r="AK24" s="1322"/>
      <c r="AL24" s="1323"/>
      <c r="AM24" s="746"/>
      <c r="AN24" s="685"/>
      <c r="AO24" s="685"/>
      <c r="AP24" s="685"/>
      <c r="AQ24" s="685"/>
      <c r="AR24" s="685"/>
      <c r="AS24" s="685"/>
      <c r="AT24" s="685"/>
      <c r="AU24" s="685"/>
      <c r="AV24" s="685"/>
      <c r="AW24" s="685"/>
      <c r="AX24" s="685"/>
      <c r="AY24" s="685"/>
      <c r="AZ24" s="685"/>
      <c r="BA24" s="685"/>
      <c r="BB24" s="685"/>
      <c r="BC24" s="685"/>
      <c r="BD24" s="685"/>
      <c r="BE24" s="685"/>
      <c r="BF24" s="685"/>
      <c r="BG24" s="685"/>
      <c r="BH24" s="685"/>
      <c r="BI24" s="685"/>
      <c r="BJ24" s="685"/>
      <c r="BK24" s="685"/>
      <c r="BL24" s="685"/>
      <c r="BM24" s="685"/>
      <c r="BN24" s="685"/>
      <c r="BO24" s="685"/>
      <c r="BP24" s="685"/>
      <c r="BQ24" s="685"/>
      <c r="BR24" s="685"/>
      <c r="BS24" s="685"/>
      <c r="BT24" s="685"/>
      <c r="BU24" s="685"/>
      <c r="BV24" s="685"/>
      <c r="BW24" s="685"/>
      <c r="BX24" s="685"/>
      <c r="BY24" s="685"/>
      <c r="BZ24" s="685"/>
      <c r="CA24" s="685"/>
      <c r="CB24" s="685"/>
      <c r="CC24" s="685"/>
      <c r="CD24" s="685"/>
      <c r="CE24" s="685"/>
      <c r="CF24" s="685"/>
      <c r="CG24" s="685"/>
      <c r="CH24" s="685"/>
      <c r="CI24" s="685"/>
      <c r="CJ24" s="685"/>
      <c r="CK24" s="685"/>
      <c r="CL24" s="685"/>
      <c r="CM24" s="685"/>
      <c r="CN24" s="685"/>
      <c r="CO24" s="685"/>
      <c r="CP24" s="685"/>
      <c r="CQ24" s="685"/>
      <c r="CR24" s="685"/>
      <c r="CS24" s="685"/>
      <c r="CT24" s="685"/>
      <c r="CU24" s="685"/>
      <c r="CV24" s="685"/>
      <c r="CW24" s="685"/>
      <c r="CX24" s="685"/>
      <c r="CY24" s="685"/>
      <c r="CZ24" s="685"/>
      <c r="DA24" s="685"/>
      <c r="DB24" s="685"/>
      <c r="DC24" s="685"/>
      <c r="DD24" s="685"/>
      <c r="DE24" s="685"/>
      <c r="DF24" s="685"/>
      <c r="DG24" s="685"/>
      <c r="DH24" s="685"/>
      <c r="DI24" s="685"/>
      <c r="DJ24" s="685"/>
      <c r="DK24" s="685"/>
      <c r="DL24" s="685"/>
      <c r="DM24" s="685"/>
      <c r="DN24" s="685"/>
      <c r="DO24" s="685"/>
      <c r="DP24" s="685"/>
      <c r="DQ24" s="685"/>
      <c r="DR24" s="685"/>
      <c r="DS24" s="685"/>
      <c r="DT24" s="685"/>
      <c r="DU24" s="685"/>
      <c r="DV24" s="685"/>
      <c r="DW24" s="685"/>
      <c r="DX24" s="685"/>
      <c r="DY24" s="685"/>
      <c r="DZ24" s="685"/>
      <c r="EA24" s="685"/>
      <c r="EB24" s="685"/>
      <c r="EC24" s="685"/>
      <c r="ED24" s="685"/>
      <c r="EE24" s="685"/>
      <c r="EF24" s="685"/>
      <c r="EG24" s="685"/>
      <c r="EH24" s="685"/>
      <c r="EI24" s="685"/>
      <c r="EJ24" s="685"/>
      <c r="EK24" s="685"/>
      <c r="EL24" s="685"/>
      <c r="EM24" s="685"/>
      <c r="EN24" s="685"/>
      <c r="EO24" s="685"/>
      <c r="EP24" s="685"/>
      <c r="EQ24" s="685"/>
      <c r="ER24" s="685"/>
      <c r="ES24" s="685"/>
      <c r="ET24" s="685"/>
      <c r="EU24" s="685"/>
      <c r="EV24" s="685"/>
      <c r="EW24" s="685"/>
      <c r="EX24" s="685"/>
      <c r="EY24" s="685"/>
      <c r="EZ24" s="685"/>
      <c r="FA24" s="685"/>
      <c r="FB24" s="685"/>
      <c r="FC24" s="685"/>
      <c r="FD24" s="685"/>
      <c r="FE24" s="685"/>
      <c r="FF24" s="685"/>
      <c r="FG24" s="685"/>
      <c r="FH24" s="685"/>
      <c r="FI24" s="685"/>
      <c r="FJ24" s="685"/>
      <c r="FK24" s="685"/>
      <c r="FL24" s="685"/>
      <c r="FM24" s="685"/>
      <c r="FN24" s="685"/>
      <c r="FO24" s="685"/>
      <c r="FP24" s="685"/>
      <c r="FQ24" s="685"/>
      <c r="FR24" s="685"/>
      <c r="FS24" s="685"/>
      <c r="FT24" s="685"/>
      <c r="FU24" s="685"/>
      <c r="FV24" s="685"/>
      <c r="FW24" s="685"/>
      <c r="FX24" s="685"/>
      <c r="FY24" s="685"/>
      <c r="FZ24" s="685"/>
      <c r="GA24" s="685"/>
      <c r="GB24" s="685"/>
      <c r="GC24" s="685"/>
      <c r="GD24" s="685"/>
      <c r="GE24" s="685"/>
      <c r="GF24" s="685"/>
      <c r="GG24" s="685"/>
      <c r="GH24" s="685"/>
      <c r="GI24" s="685"/>
      <c r="GJ24" s="685"/>
      <c r="GK24" s="685"/>
      <c r="GL24" s="685"/>
      <c r="GM24" s="685"/>
      <c r="GN24" s="685"/>
      <c r="GO24" s="685"/>
      <c r="GP24" s="685"/>
      <c r="GQ24" s="685"/>
      <c r="GR24" s="685"/>
      <c r="GS24" s="685"/>
      <c r="GT24" s="685"/>
      <c r="GU24" s="685"/>
      <c r="GV24" s="685"/>
      <c r="GW24" s="685"/>
      <c r="GX24" s="685"/>
      <c r="GY24" s="685"/>
      <c r="GZ24" s="685"/>
      <c r="HA24" s="685"/>
      <c r="HB24" s="685"/>
      <c r="HC24" s="685"/>
      <c r="HD24" s="685"/>
      <c r="HE24" s="685"/>
      <c r="HF24" s="685"/>
      <c r="HG24" s="685"/>
      <c r="HH24" s="685"/>
      <c r="HI24" s="685"/>
      <c r="HJ24" s="685"/>
      <c r="HK24" s="685"/>
      <c r="HL24" s="685"/>
      <c r="HM24" s="685"/>
      <c r="HN24" s="685"/>
      <c r="HO24" s="685"/>
      <c r="HP24" s="685"/>
      <c r="HQ24" s="685"/>
      <c r="HR24" s="685"/>
      <c r="HS24" s="685"/>
      <c r="HT24" s="685"/>
      <c r="HU24" s="685"/>
      <c r="HV24" s="685"/>
      <c r="HW24" s="685"/>
      <c r="HX24" s="685"/>
      <c r="HY24" s="685"/>
      <c r="HZ24" s="685"/>
      <c r="IA24" s="685"/>
      <c r="IB24" s="685"/>
      <c r="IC24" s="685"/>
      <c r="ID24" s="685"/>
      <c r="IE24" s="685"/>
      <c r="IF24" s="685"/>
      <c r="IG24" s="685"/>
      <c r="IH24" s="685"/>
      <c r="II24" s="685"/>
      <c r="IJ24" s="685"/>
      <c r="IK24" s="685"/>
      <c r="IL24" s="685"/>
      <c r="IM24" s="685"/>
      <c r="IN24" s="685"/>
      <c r="IO24" s="685"/>
      <c r="IP24" s="685"/>
      <c r="IQ24" s="685"/>
      <c r="IR24" s="685"/>
      <c r="IS24" s="685"/>
      <c r="IT24" s="685"/>
      <c r="IU24" s="685"/>
      <c r="IV24" s="685"/>
    </row>
    <row r="25" spans="1:256" ht="20.100000000000001" customHeight="1" thickBot="1">
      <c r="A25" s="747"/>
      <c r="B25" s="748"/>
      <c r="C25" s="748"/>
      <c r="D25" s="748"/>
      <c r="E25" s="748"/>
      <c r="F25" s="749"/>
      <c r="G25" s="750"/>
      <c r="H25" s="750"/>
      <c r="I25" s="750"/>
      <c r="J25" s="748"/>
      <c r="K25" s="748"/>
      <c r="L25" s="751"/>
      <c r="M25" s="1324"/>
      <c r="N25" s="1324"/>
      <c r="O25" s="1324"/>
      <c r="P25" s="1324"/>
      <c r="Q25" s="1324"/>
      <c r="R25" s="752"/>
      <c r="S25" s="748"/>
      <c r="T25" s="748"/>
      <c r="U25" s="748"/>
      <c r="V25" s="748"/>
      <c r="W25" s="748"/>
      <c r="X25" s="748"/>
      <c r="Y25" s="748"/>
      <c r="Z25" s="748"/>
      <c r="AA25" s="748"/>
      <c r="AB25" s="748"/>
      <c r="AC25" s="753"/>
      <c r="AD25" s="685"/>
      <c r="AE25" s="685"/>
      <c r="AF25" s="685"/>
      <c r="AG25" s="685"/>
      <c r="AH25" s="733"/>
      <c r="AI25" s="685"/>
      <c r="AJ25" s="685"/>
      <c r="AK25" s="685"/>
      <c r="AL25" s="685"/>
      <c r="AM25" s="685"/>
      <c r="AN25" s="685"/>
      <c r="AO25" s="685"/>
      <c r="AP25" s="685"/>
      <c r="AQ25" s="685"/>
      <c r="AR25" s="685"/>
      <c r="AS25" s="685"/>
      <c r="AT25" s="685"/>
      <c r="AU25" s="685"/>
      <c r="AV25" s="685"/>
      <c r="AW25" s="685"/>
      <c r="AX25" s="685"/>
      <c r="AY25" s="685"/>
      <c r="AZ25" s="685"/>
      <c r="BA25" s="685"/>
      <c r="BB25" s="685"/>
      <c r="BC25" s="685"/>
      <c r="BD25" s="685"/>
      <c r="BE25" s="685"/>
      <c r="BF25" s="685"/>
      <c r="BG25" s="685"/>
      <c r="BH25" s="685"/>
      <c r="BI25" s="685"/>
      <c r="BJ25" s="685"/>
      <c r="BK25" s="685"/>
      <c r="BL25" s="685"/>
      <c r="BM25" s="685"/>
      <c r="BN25" s="685"/>
      <c r="BO25" s="685"/>
      <c r="BP25" s="685"/>
      <c r="BQ25" s="685"/>
      <c r="BR25" s="685"/>
      <c r="BS25" s="685"/>
      <c r="BT25" s="685"/>
      <c r="BU25" s="685"/>
      <c r="BV25" s="685"/>
      <c r="BW25" s="685"/>
      <c r="BX25" s="685"/>
      <c r="BY25" s="685"/>
      <c r="BZ25" s="685"/>
      <c r="CA25" s="685"/>
      <c r="CB25" s="685"/>
      <c r="CC25" s="685"/>
      <c r="CD25" s="685"/>
      <c r="CE25" s="685"/>
      <c r="CF25" s="685"/>
      <c r="CG25" s="685"/>
      <c r="CH25" s="685"/>
      <c r="CI25" s="685"/>
      <c r="CJ25" s="685"/>
      <c r="CK25" s="685"/>
      <c r="CL25" s="685"/>
      <c r="CM25" s="685"/>
      <c r="CN25" s="685"/>
      <c r="CO25" s="685"/>
      <c r="CP25" s="685"/>
      <c r="CQ25" s="685"/>
      <c r="CR25" s="685"/>
      <c r="CS25" s="685"/>
      <c r="CT25" s="685"/>
      <c r="CU25" s="685"/>
      <c r="CV25" s="685"/>
      <c r="CW25" s="685"/>
      <c r="CX25" s="685"/>
      <c r="CY25" s="685"/>
      <c r="CZ25" s="685"/>
      <c r="DA25" s="685"/>
      <c r="DB25" s="685"/>
      <c r="DC25" s="685"/>
      <c r="DD25" s="685"/>
      <c r="DE25" s="685"/>
      <c r="DF25" s="685"/>
      <c r="DG25" s="685"/>
      <c r="DH25" s="685"/>
      <c r="DI25" s="685"/>
      <c r="DJ25" s="685"/>
      <c r="DK25" s="685"/>
      <c r="DL25" s="685"/>
      <c r="DM25" s="685"/>
      <c r="DN25" s="685"/>
      <c r="DO25" s="685"/>
      <c r="DP25" s="685"/>
      <c r="DQ25" s="685"/>
      <c r="DR25" s="685"/>
      <c r="DS25" s="685"/>
      <c r="DT25" s="685"/>
      <c r="DU25" s="685"/>
      <c r="DV25" s="685"/>
      <c r="DW25" s="685"/>
      <c r="DX25" s="685"/>
      <c r="DY25" s="685"/>
      <c r="DZ25" s="685"/>
      <c r="EA25" s="685"/>
      <c r="EB25" s="685"/>
      <c r="EC25" s="685"/>
      <c r="ED25" s="685"/>
      <c r="EE25" s="685"/>
      <c r="EF25" s="685"/>
      <c r="EG25" s="685"/>
      <c r="EH25" s="685"/>
      <c r="EI25" s="685"/>
      <c r="EJ25" s="685"/>
      <c r="EK25" s="685"/>
      <c r="EL25" s="685"/>
      <c r="EM25" s="685"/>
      <c r="EN25" s="685"/>
      <c r="EO25" s="685"/>
      <c r="EP25" s="685"/>
      <c r="EQ25" s="685"/>
      <c r="ER25" s="685"/>
      <c r="ES25" s="685"/>
      <c r="ET25" s="685"/>
      <c r="EU25" s="685"/>
      <c r="EV25" s="685"/>
      <c r="EW25" s="685"/>
      <c r="EX25" s="685"/>
      <c r="EY25" s="685"/>
      <c r="EZ25" s="685"/>
      <c r="FA25" s="685"/>
      <c r="FB25" s="685"/>
      <c r="FC25" s="685"/>
      <c r="FD25" s="685"/>
      <c r="FE25" s="685"/>
      <c r="FF25" s="685"/>
      <c r="FG25" s="685"/>
      <c r="FH25" s="685"/>
      <c r="FI25" s="685"/>
      <c r="FJ25" s="685"/>
      <c r="FK25" s="685"/>
      <c r="FL25" s="685"/>
      <c r="FM25" s="685"/>
      <c r="FN25" s="685"/>
      <c r="FO25" s="685"/>
      <c r="FP25" s="685"/>
      <c r="FQ25" s="685"/>
      <c r="FR25" s="685"/>
      <c r="FS25" s="685"/>
      <c r="FT25" s="685"/>
      <c r="FU25" s="685"/>
      <c r="FV25" s="685"/>
      <c r="FW25" s="685"/>
      <c r="FX25" s="685"/>
      <c r="FY25" s="685"/>
      <c r="FZ25" s="685"/>
      <c r="GA25" s="685"/>
      <c r="GB25" s="685"/>
      <c r="GC25" s="685"/>
      <c r="GD25" s="685"/>
      <c r="GE25" s="685"/>
      <c r="GF25" s="685"/>
      <c r="GG25" s="685"/>
      <c r="GH25" s="685"/>
      <c r="GI25" s="685"/>
      <c r="GJ25" s="685"/>
      <c r="GK25" s="685"/>
      <c r="GL25" s="685"/>
      <c r="GM25" s="685"/>
      <c r="GN25" s="685"/>
      <c r="GO25" s="685"/>
      <c r="GP25" s="685"/>
      <c r="GQ25" s="685"/>
      <c r="GR25" s="685"/>
      <c r="GS25" s="685"/>
      <c r="GT25" s="685"/>
      <c r="GU25" s="685"/>
      <c r="GV25" s="685"/>
      <c r="GW25" s="685"/>
      <c r="GX25" s="685"/>
      <c r="GY25" s="685"/>
      <c r="GZ25" s="685"/>
      <c r="HA25" s="685"/>
      <c r="HB25" s="685"/>
      <c r="HC25" s="685"/>
      <c r="HD25" s="685"/>
      <c r="HE25" s="685"/>
      <c r="HF25" s="685"/>
      <c r="HG25" s="685"/>
      <c r="HH25" s="685"/>
      <c r="HI25" s="685"/>
      <c r="HJ25" s="685"/>
      <c r="HK25" s="685"/>
      <c r="HL25" s="685"/>
      <c r="HM25" s="685"/>
      <c r="HN25" s="685"/>
      <c r="HO25" s="685"/>
      <c r="HP25" s="685"/>
      <c r="HQ25" s="685"/>
      <c r="HR25" s="685"/>
      <c r="HS25" s="685"/>
      <c r="HT25" s="685"/>
      <c r="HU25" s="685"/>
      <c r="HV25" s="685"/>
      <c r="HW25" s="685"/>
      <c r="HX25" s="685"/>
      <c r="HY25" s="685"/>
      <c r="HZ25" s="685"/>
      <c r="IA25" s="685"/>
      <c r="IB25" s="685"/>
      <c r="IC25" s="685"/>
      <c r="ID25" s="685"/>
      <c r="IE25" s="685"/>
      <c r="IF25" s="685"/>
      <c r="IG25" s="685"/>
      <c r="IH25" s="685"/>
      <c r="II25" s="685"/>
      <c r="IJ25" s="685"/>
      <c r="IK25" s="685"/>
      <c r="IL25" s="685"/>
      <c r="IM25" s="685"/>
      <c r="IN25" s="685"/>
      <c r="IO25" s="685"/>
      <c r="IP25" s="685"/>
      <c r="IQ25" s="685"/>
      <c r="IR25" s="685"/>
      <c r="IS25" s="685"/>
      <c r="IT25" s="685"/>
      <c r="IU25" s="685"/>
      <c r="IV25" s="685"/>
    </row>
    <row r="26" spans="1:256" ht="13.5">
      <c r="A26" s="685"/>
      <c r="B26" s="685"/>
      <c r="C26" s="685"/>
      <c r="D26" s="685"/>
      <c r="E26" s="685"/>
      <c r="F26" s="685"/>
      <c r="G26" s="685"/>
      <c r="H26" s="685"/>
      <c r="I26" s="685"/>
      <c r="J26" s="685"/>
      <c r="K26" s="685"/>
      <c r="L26" s="685"/>
      <c r="M26" s="685"/>
      <c r="N26" s="685"/>
      <c r="O26" s="685"/>
      <c r="P26" s="685"/>
      <c r="Q26" s="685"/>
      <c r="R26" s="685"/>
      <c r="S26" s="685"/>
      <c r="T26" s="685"/>
      <c r="U26" s="685"/>
      <c r="V26" s="685"/>
      <c r="W26" s="685"/>
      <c r="X26" s="685"/>
      <c r="Y26" s="685"/>
      <c r="Z26" s="685"/>
      <c r="AA26" s="685"/>
      <c r="AB26" s="685"/>
      <c r="AC26" s="685"/>
      <c r="AD26" s="685"/>
      <c r="AE26" s="685"/>
      <c r="AF26" s="685"/>
      <c r="AG26" s="685"/>
      <c r="AH26" s="733"/>
      <c r="AI26" s="685"/>
      <c r="AJ26" s="685"/>
      <c r="AK26" s="685"/>
      <c r="AL26" s="685"/>
      <c r="AM26" s="685"/>
      <c r="AN26" s="685"/>
      <c r="AO26" s="685"/>
      <c r="AP26" s="685"/>
      <c r="AQ26" s="685"/>
      <c r="AR26" s="685"/>
      <c r="AS26" s="685"/>
      <c r="AT26" s="685"/>
      <c r="AU26" s="685"/>
      <c r="AV26" s="685"/>
      <c r="AW26" s="685"/>
      <c r="AX26" s="685"/>
      <c r="AY26" s="685"/>
      <c r="AZ26" s="685"/>
      <c r="BA26" s="685"/>
      <c r="BB26" s="685"/>
      <c r="BC26" s="685"/>
      <c r="BD26" s="685"/>
      <c r="BE26" s="685"/>
      <c r="BF26" s="685"/>
      <c r="BG26" s="685"/>
      <c r="BH26" s="685"/>
      <c r="BI26" s="685"/>
      <c r="BJ26" s="685"/>
      <c r="BK26" s="685"/>
      <c r="BL26" s="685"/>
      <c r="BM26" s="685"/>
      <c r="BN26" s="685"/>
      <c r="BO26" s="685"/>
      <c r="BP26" s="685"/>
      <c r="BQ26" s="685"/>
      <c r="BR26" s="685"/>
      <c r="BS26" s="685"/>
      <c r="BT26" s="685"/>
      <c r="BU26" s="685"/>
      <c r="BV26" s="685"/>
      <c r="BW26" s="685"/>
      <c r="BX26" s="685"/>
      <c r="BY26" s="685"/>
      <c r="BZ26" s="685"/>
      <c r="CA26" s="685"/>
      <c r="CB26" s="685"/>
      <c r="CC26" s="685"/>
      <c r="CD26" s="685"/>
      <c r="CE26" s="685"/>
      <c r="CF26" s="685"/>
      <c r="CG26" s="685"/>
      <c r="CH26" s="685"/>
      <c r="CI26" s="685"/>
      <c r="CJ26" s="685"/>
      <c r="CK26" s="685"/>
      <c r="CL26" s="685"/>
      <c r="CM26" s="685"/>
      <c r="CN26" s="685"/>
      <c r="CO26" s="685"/>
      <c r="CP26" s="685"/>
      <c r="CQ26" s="685"/>
      <c r="CR26" s="685"/>
      <c r="CS26" s="685"/>
      <c r="CT26" s="685"/>
      <c r="CU26" s="685"/>
      <c r="CV26" s="685"/>
      <c r="CW26" s="685"/>
      <c r="CX26" s="685"/>
      <c r="CY26" s="685"/>
      <c r="CZ26" s="685"/>
      <c r="DA26" s="685"/>
      <c r="DB26" s="685"/>
      <c r="DC26" s="685"/>
      <c r="DD26" s="685"/>
      <c r="DE26" s="685"/>
      <c r="DF26" s="685"/>
      <c r="DG26" s="685"/>
      <c r="DH26" s="685"/>
      <c r="DI26" s="685"/>
      <c r="DJ26" s="685"/>
      <c r="DK26" s="685"/>
      <c r="DL26" s="685"/>
      <c r="DM26" s="685"/>
      <c r="DN26" s="685"/>
      <c r="DO26" s="685"/>
      <c r="DP26" s="685"/>
      <c r="DQ26" s="685"/>
      <c r="DR26" s="685"/>
      <c r="DS26" s="685"/>
      <c r="DT26" s="685"/>
      <c r="DU26" s="685"/>
      <c r="DV26" s="685"/>
      <c r="DW26" s="685"/>
      <c r="DX26" s="685"/>
      <c r="DY26" s="685"/>
      <c r="DZ26" s="685"/>
      <c r="EA26" s="685"/>
      <c r="EB26" s="685"/>
      <c r="EC26" s="685"/>
      <c r="ED26" s="685"/>
      <c r="EE26" s="685"/>
      <c r="EF26" s="685"/>
      <c r="EG26" s="685"/>
      <c r="EH26" s="685"/>
      <c r="EI26" s="685"/>
      <c r="EJ26" s="685"/>
      <c r="EK26" s="685"/>
      <c r="EL26" s="685"/>
      <c r="EM26" s="685"/>
      <c r="EN26" s="685"/>
      <c r="EO26" s="685"/>
      <c r="EP26" s="685"/>
      <c r="EQ26" s="685"/>
      <c r="ER26" s="685"/>
      <c r="ES26" s="685"/>
      <c r="ET26" s="685"/>
      <c r="EU26" s="685"/>
      <c r="EV26" s="685"/>
      <c r="EW26" s="685"/>
      <c r="EX26" s="685"/>
      <c r="EY26" s="685"/>
      <c r="EZ26" s="685"/>
      <c r="FA26" s="685"/>
      <c r="FB26" s="685"/>
      <c r="FC26" s="685"/>
      <c r="FD26" s="685"/>
      <c r="FE26" s="685"/>
      <c r="FF26" s="685"/>
      <c r="FG26" s="685"/>
      <c r="FH26" s="685"/>
      <c r="FI26" s="685"/>
      <c r="FJ26" s="685"/>
      <c r="FK26" s="685"/>
      <c r="FL26" s="685"/>
      <c r="FM26" s="685"/>
      <c r="FN26" s="685"/>
      <c r="FO26" s="685"/>
      <c r="FP26" s="685"/>
      <c r="FQ26" s="685"/>
      <c r="FR26" s="685"/>
      <c r="FS26" s="685"/>
      <c r="FT26" s="685"/>
      <c r="FU26" s="685"/>
      <c r="FV26" s="685"/>
      <c r="FW26" s="685"/>
      <c r="FX26" s="685"/>
      <c r="FY26" s="685"/>
      <c r="FZ26" s="685"/>
      <c r="GA26" s="685"/>
      <c r="GB26" s="685"/>
      <c r="GC26" s="685"/>
      <c r="GD26" s="685"/>
      <c r="GE26" s="685"/>
      <c r="GF26" s="685"/>
      <c r="GG26" s="685"/>
      <c r="GH26" s="685"/>
      <c r="GI26" s="685"/>
      <c r="GJ26" s="685"/>
      <c r="GK26" s="685"/>
      <c r="GL26" s="685"/>
      <c r="GM26" s="685"/>
      <c r="GN26" s="685"/>
      <c r="GO26" s="685"/>
      <c r="GP26" s="685"/>
      <c r="GQ26" s="685"/>
      <c r="GR26" s="685"/>
      <c r="GS26" s="685"/>
      <c r="GT26" s="685"/>
      <c r="GU26" s="685"/>
      <c r="GV26" s="685"/>
      <c r="GW26" s="685"/>
      <c r="GX26" s="685"/>
      <c r="GY26" s="685"/>
      <c r="GZ26" s="685"/>
      <c r="HA26" s="685"/>
      <c r="HB26" s="685"/>
      <c r="HC26" s="685"/>
      <c r="HD26" s="685"/>
      <c r="HE26" s="685"/>
      <c r="HF26" s="685"/>
      <c r="HG26" s="685"/>
      <c r="HH26" s="685"/>
      <c r="HI26" s="685"/>
      <c r="HJ26" s="685"/>
      <c r="HK26" s="685"/>
      <c r="HL26" s="685"/>
      <c r="HM26" s="685"/>
      <c r="HN26" s="685"/>
      <c r="HO26" s="685"/>
      <c r="HP26" s="685"/>
      <c r="HQ26" s="685"/>
      <c r="HR26" s="685"/>
      <c r="HS26" s="685"/>
      <c r="HT26" s="685"/>
      <c r="HU26" s="685"/>
      <c r="HV26" s="685"/>
      <c r="HW26" s="685"/>
      <c r="HX26" s="685"/>
      <c r="HY26" s="685"/>
      <c r="HZ26" s="685"/>
      <c r="IA26" s="685"/>
      <c r="IB26" s="685"/>
      <c r="IC26" s="685"/>
      <c r="ID26" s="685"/>
      <c r="IE26" s="685"/>
      <c r="IF26" s="685"/>
      <c r="IG26" s="685"/>
      <c r="IH26" s="685"/>
      <c r="II26" s="685"/>
      <c r="IJ26" s="685"/>
      <c r="IK26" s="685"/>
      <c r="IL26" s="685"/>
      <c r="IM26" s="685"/>
      <c r="IN26" s="685"/>
      <c r="IO26" s="685"/>
      <c r="IP26" s="685"/>
      <c r="IQ26" s="685"/>
      <c r="IR26" s="685"/>
      <c r="IS26" s="685"/>
      <c r="IT26" s="685"/>
      <c r="IU26" s="685"/>
      <c r="IV26" s="685"/>
    </row>
    <row r="27" spans="1:256" ht="13.5">
      <c r="A27" s="685"/>
      <c r="B27" s="685"/>
      <c r="C27" s="685"/>
      <c r="D27" s="685"/>
      <c r="E27" s="685"/>
      <c r="F27" s="685"/>
      <c r="G27" s="685"/>
      <c r="H27" s="685"/>
      <c r="I27" s="685"/>
      <c r="J27" s="685"/>
      <c r="K27" s="685"/>
      <c r="L27" s="685"/>
      <c r="M27" s="685"/>
      <c r="N27" s="685"/>
      <c r="O27" s="685"/>
      <c r="P27" s="685"/>
      <c r="Q27" s="685"/>
      <c r="R27" s="685"/>
      <c r="S27" s="685"/>
      <c r="T27" s="685"/>
      <c r="U27" s="685"/>
      <c r="V27" s="685"/>
      <c r="W27" s="685"/>
      <c r="X27" s="685"/>
      <c r="Y27" s="685"/>
      <c r="Z27" s="685"/>
      <c r="AA27" s="685"/>
      <c r="AB27" s="685"/>
      <c r="AC27" s="685"/>
      <c r="AD27" s="685"/>
      <c r="AE27" s="685"/>
      <c r="AF27" s="685"/>
      <c r="AG27" s="685"/>
      <c r="AH27" s="733"/>
      <c r="AI27" s="685"/>
      <c r="AJ27" s="685"/>
      <c r="AK27" s="685"/>
      <c r="AL27" s="685"/>
      <c r="AM27" s="685"/>
      <c r="AN27" s="685"/>
      <c r="AO27" s="685"/>
      <c r="AP27" s="685"/>
      <c r="AQ27" s="685"/>
      <c r="AR27" s="685"/>
      <c r="AS27" s="685"/>
      <c r="AT27" s="685"/>
      <c r="AU27" s="685"/>
      <c r="AV27" s="685"/>
      <c r="AW27" s="685"/>
      <c r="AX27" s="685"/>
      <c r="AY27" s="685"/>
      <c r="AZ27" s="685"/>
      <c r="BA27" s="685"/>
      <c r="BB27" s="685"/>
      <c r="BC27" s="685"/>
      <c r="BD27" s="685"/>
      <c r="BE27" s="685"/>
      <c r="BF27" s="685"/>
      <c r="BG27" s="685"/>
      <c r="BH27" s="685"/>
      <c r="BI27" s="685"/>
      <c r="BJ27" s="685"/>
      <c r="BK27" s="685"/>
      <c r="BL27" s="685"/>
      <c r="BM27" s="685"/>
      <c r="BN27" s="685"/>
      <c r="BO27" s="685"/>
      <c r="BP27" s="685"/>
      <c r="BQ27" s="685"/>
      <c r="BR27" s="685"/>
      <c r="BS27" s="685"/>
      <c r="BT27" s="685"/>
      <c r="BU27" s="685"/>
      <c r="BV27" s="685"/>
      <c r="BW27" s="685"/>
      <c r="BX27" s="685"/>
      <c r="BY27" s="685"/>
      <c r="BZ27" s="685"/>
      <c r="CA27" s="685"/>
      <c r="CB27" s="685"/>
      <c r="CC27" s="685"/>
      <c r="CD27" s="685"/>
      <c r="CE27" s="685"/>
      <c r="CF27" s="685"/>
      <c r="CG27" s="685"/>
      <c r="CH27" s="685"/>
      <c r="CI27" s="685"/>
      <c r="CJ27" s="685"/>
      <c r="CK27" s="685"/>
      <c r="CL27" s="685"/>
      <c r="CM27" s="685"/>
      <c r="CN27" s="685"/>
      <c r="CO27" s="685"/>
      <c r="CP27" s="685"/>
      <c r="CQ27" s="685"/>
      <c r="CR27" s="685"/>
      <c r="CS27" s="685"/>
      <c r="CT27" s="685"/>
      <c r="CU27" s="685"/>
      <c r="CV27" s="685"/>
      <c r="CW27" s="685"/>
      <c r="CX27" s="685"/>
      <c r="CY27" s="685"/>
      <c r="CZ27" s="685"/>
      <c r="DA27" s="685"/>
      <c r="DB27" s="685"/>
      <c r="DC27" s="685"/>
      <c r="DD27" s="685"/>
      <c r="DE27" s="685"/>
      <c r="DF27" s="685"/>
      <c r="DG27" s="685"/>
      <c r="DH27" s="685"/>
      <c r="DI27" s="685"/>
      <c r="DJ27" s="685"/>
      <c r="DK27" s="685"/>
      <c r="DL27" s="685"/>
      <c r="DM27" s="685"/>
      <c r="DN27" s="685"/>
      <c r="DO27" s="685"/>
      <c r="DP27" s="685"/>
      <c r="DQ27" s="685"/>
      <c r="DR27" s="685"/>
      <c r="DS27" s="685"/>
      <c r="DT27" s="685"/>
      <c r="DU27" s="685"/>
      <c r="DV27" s="685"/>
      <c r="DW27" s="685"/>
      <c r="DX27" s="685"/>
      <c r="DY27" s="685"/>
      <c r="DZ27" s="685"/>
      <c r="EA27" s="685"/>
      <c r="EB27" s="685"/>
      <c r="EC27" s="685"/>
      <c r="ED27" s="685"/>
      <c r="EE27" s="685"/>
      <c r="EF27" s="685"/>
      <c r="EG27" s="685"/>
      <c r="EH27" s="685"/>
      <c r="EI27" s="685"/>
      <c r="EJ27" s="685"/>
      <c r="EK27" s="685"/>
      <c r="EL27" s="685"/>
      <c r="EM27" s="685"/>
      <c r="EN27" s="685"/>
      <c r="EO27" s="685"/>
      <c r="EP27" s="685"/>
      <c r="EQ27" s="685"/>
      <c r="ER27" s="685"/>
      <c r="ES27" s="685"/>
      <c r="ET27" s="685"/>
      <c r="EU27" s="685"/>
      <c r="EV27" s="685"/>
      <c r="EW27" s="685"/>
      <c r="EX27" s="685"/>
      <c r="EY27" s="685"/>
      <c r="EZ27" s="685"/>
      <c r="FA27" s="685"/>
      <c r="FB27" s="685"/>
      <c r="FC27" s="685"/>
      <c r="FD27" s="685"/>
      <c r="FE27" s="685"/>
      <c r="FF27" s="685"/>
      <c r="FG27" s="685"/>
      <c r="FH27" s="685"/>
      <c r="FI27" s="685"/>
      <c r="FJ27" s="685"/>
      <c r="FK27" s="685"/>
      <c r="FL27" s="685"/>
      <c r="FM27" s="685"/>
      <c r="FN27" s="685"/>
      <c r="FO27" s="685"/>
      <c r="FP27" s="685"/>
      <c r="FQ27" s="685"/>
      <c r="FR27" s="685"/>
      <c r="FS27" s="685"/>
      <c r="FT27" s="685"/>
      <c r="FU27" s="685"/>
      <c r="FV27" s="685"/>
      <c r="FW27" s="685"/>
      <c r="FX27" s="685"/>
      <c r="FY27" s="685"/>
      <c r="FZ27" s="685"/>
      <c r="GA27" s="685"/>
      <c r="GB27" s="685"/>
      <c r="GC27" s="685"/>
      <c r="GD27" s="685"/>
      <c r="GE27" s="685"/>
      <c r="GF27" s="685"/>
      <c r="GG27" s="685"/>
      <c r="GH27" s="685"/>
      <c r="GI27" s="685"/>
      <c r="GJ27" s="685"/>
      <c r="GK27" s="685"/>
      <c r="GL27" s="685"/>
      <c r="GM27" s="685"/>
      <c r="GN27" s="685"/>
      <c r="GO27" s="685"/>
      <c r="GP27" s="685"/>
      <c r="GQ27" s="685"/>
      <c r="GR27" s="685"/>
      <c r="GS27" s="685"/>
      <c r="GT27" s="685"/>
      <c r="GU27" s="685"/>
      <c r="GV27" s="685"/>
      <c r="GW27" s="685"/>
      <c r="GX27" s="685"/>
      <c r="GY27" s="685"/>
      <c r="GZ27" s="685"/>
      <c r="HA27" s="685"/>
      <c r="HB27" s="685"/>
      <c r="HC27" s="685"/>
      <c r="HD27" s="685"/>
      <c r="HE27" s="685"/>
      <c r="HF27" s="685"/>
      <c r="HG27" s="685"/>
      <c r="HH27" s="685"/>
      <c r="HI27" s="685"/>
      <c r="HJ27" s="685"/>
      <c r="HK27" s="685"/>
      <c r="HL27" s="685"/>
      <c r="HM27" s="685"/>
      <c r="HN27" s="685"/>
      <c r="HO27" s="685"/>
      <c r="HP27" s="685"/>
      <c r="HQ27" s="685"/>
      <c r="HR27" s="685"/>
      <c r="HS27" s="685"/>
      <c r="HT27" s="685"/>
      <c r="HU27" s="685"/>
      <c r="HV27" s="685"/>
      <c r="HW27" s="685"/>
      <c r="HX27" s="685"/>
      <c r="HY27" s="685"/>
      <c r="HZ27" s="685"/>
      <c r="IA27" s="685"/>
      <c r="IB27" s="685"/>
      <c r="IC27" s="685"/>
      <c r="ID27" s="685"/>
      <c r="IE27" s="685"/>
      <c r="IF27" s="685"/>
      <c r="IG27" s="685"/>
      <c r="IH27" s="685"/>
      <c r="II27" s="685"/>
      <c r="IJ27" s="685"/>
      <c r="IK27" s="685"/>
      <c r="IL27" s="685"/>
      <c r="IM27" s="685"/>
      <c r="IN27" s="685"/>
      <c r="IO27" s="685"/>
      <c r="IP27" s="685"/>
      <c r="IQ27" s="685"/>
      <c r="IR27" s="685"/>
      <c r="IS27" s="685"/>
      <c r="IT27" s="685"/>
      <c r="IU27" s="685"/>
      <c r="IV27" s="685"/>
    </row>
    <row r="28" spans="1:256" ht="13.5">
      <c r="A28" s="685"/>
      <c r="B28" s="685"/>
      <c r="C28" s="685"/>
      <c r="D28" s="685"/>
      <c r="E28" s="685"/>
      <c r="F28" s="685"/>
      <c r="G28" s="685"/>
      <c r="H28" s="685"/>
      <c r="I28" s="685"/>
      <c r="J28" s="685"/>
      <c r="K28" s="685"/>
      <c r="L28" s="685"/>
      <c r="M28" s="685"/>
      <c r="N28" s="685"/>
      <c r="O28" s="685"/>
      <c r="P28" s="685"/>
      <c r="Q28" s="685"/>
      <c r="R28" s="685"/>
      <c r="S28" s="685"/>
      <c r="T28" s="685"/>
      <c r="U28" s="685"/>
      <c r="V28" s="685"/>
      <c r="W28" s="685"/>
      <c r="X28" s="685"/>
      <c r="Y28" s="685"/>
      <c r="Z28" s="685"/>
      <c r="AA28" s="685"/>
      <c r="AB28" s="685"/>
      <c r="AC28" s="685"/>
      <c r="AD28" s="685"/>
      <c r="AE28" s="685"/>
      <c r="AF28" s="685"/>
      <c r="AG28" s="685"/>
      <c r="AH28" s="733"/>
      <c r="AI28" s="685"/>
      <c r="AJ28" s="685"/>
      <c r="AK28" s="685"/>
      <c r="AL28" s="685"/>
      <c r="AM28" s="685"/>
      <c r="AN28" s="685"/>
      <c r="AO28" s="685"/>
      <c r="AP28" s="685"/>
      <c r="AQ28" s="685"/>
      <c r="AR28" s="685"/>
      <c r="AS28" s="685"/>
      <c r="AT28" s="685"/>
      <c r="AU28" s="685"/>
      <c r="AV28" s="685"/>
      <c r="AW28" s="685"/>
      <c r="AX28" s="685"/>
      <c r="AY28" s="685"/>
      <c r="AZ28" s="685"/>
      <c r="BA28" s="685"/>
      <c r="BB28" s="685"/>
      <c r="BC28" s="685"/>
      <c r="BD28" s="685"/>
      <c r="BE28" s="685"/>
      <c r="BF28" s="685"/>
      <c r="BG28" s="685"/>
      <c r="BH28" s="685"/>
      <c r="BI28" s="685"/>
      <c r="BJ28" s="685"/>
      <c r="BK28" s="685"/>
      <c r="BL28" s="685"/>
      <c r="BM28" s="685"/>
      <c r="BN28" s="685"/>
      <c r="BO28" s="685"/>
      <c r="BP28" s="685"/>
      <c r="BQ28" s="685"/>
      <c r="BR28" s="685"/>
      <c r="BS28" s="685"/>
      <c r="BT28" s="685"/>
      <c r="BU28" s="685"/>
      <c r="BV28" s="685"/>
      <c r="BW28" s="685"/>
      <c r="BX28" s="685"/>
      <c r="BY28" s="685"/>
      <c r="BZ28" s="685"/>
      <c r="CA28" s="685"/>
      <c r="CB28" s="685"/>
      <c r="CC28" s="685"/>
      <c r="CD28" s="685"/>
      <c r="CE28" s="685"/>
      <c r="CF28" s="685"/>
      <c r="CG28" s="685"/>
      <c r="CH28" s="685"/>
      <c r="CI28" s="685"/>
      <c r="CJ28" s="685"/>
      <c r="CK28" s="685"/>
      <c r="CL28" s="685"/>
      <c r="CM28" s="685"/>
      <c r="CN28" s="685"/>
      <c r="CO28" s="685"/>
      <c r="CP28" s="685"/>
      <c r="CQ28" s="685"/>
      <c r="CR28" s="685"/>
      <c r="CS28" s="685"/>
      <c r="CT28" s="685"/>
      <c r="CU28" s="685"/>
      <c r="CV28" s="685"/>
      <c r="CW28" s="685"/>
      <c r="CX28" s="685"/>
      <c r="CY28" s="685"/>
      <c r="CZ28" s="685"/>
      <c r="DA28" s="685"/>
      <c r="DB28" s="685"/>
      <c r="DC28" s="685"/>
      <c r="DD28" s="685"/>
      <c r="DE28" s="685"/>
      <c r="DF28" s="685"/>
      <c r="DG28" s="685"/>
      <c r="DH28" s="685"/>
      <c r="DI28" s="685"/>
      <c r="DJ28" s="685"/>
      <c r="DK28" s="685"/>
      <c r="DL28" s="685"/>
      <c r="DM28" s="685"/>
      <c r="DN28" s="685"/>
      <c r="DO28" s="685"/>
      <c r="DP28" s="685"/>
      <c r="DQ28" s="685"/>
      <c r="DR28" s="685"/>
      <c r="DS28" s="685"/>
      <c r="DT28" s="685"/>
      <c r="DU28" s="685"/>
      <c r="DV28" s="685"/>
      <c r="DW28" s="685"/>
      <c r="DX28" s="685"/>
      <c r="DY28" s="685"/>
      <c r="DZ28" s="685"/>
      <c r="EA28" s="685"/>
      <c r="EB28" s="685"/>
      <c r="EC28" s="685"/>
      <c r="ED28" s="685"/>
      <c r="EE28" s="685"/>
      <c r="EF28" s="685"/>
      <c r="EG28" s="685"/>
      <c r="EH28" s="685"/>
      <c r="EI28" s="685"/>
      <c r="EJ28" s="685"/>
      <c r="EK28" s="685"/>
      <c r="EL28" s="685"/>
      <c r="EM28" s="685"/>
      <c r="EN28" s="685"/>
      <c r="EO28" s="685"/>
      <c r="EP28" s="685"/>
      <c r="EQ28" s="685"/>
      <c r="ER28" s="685"/>
      <c r="ES28" s="685"/>
      <c r="ET28" s="685"/>
      <c r="EU28" s="685"/>
      <c r="EV28" s="685"/>
      <c r="EW28" s="685"/>
      <c r="EX28" s="685"/>
      <c r="EY28" s="685"/>
      <c r="EZ28" s="685"/>
      <c r="FA28" s="685"/>
      <c r="FB28" s="685"/>
      <c r="FC28" s="685"/>
      <c r="FD28" s="685"/>
      <c r="FE28" s="685"/>
      <c r="FF28" s="685"/>
      <c r="FG28" s="685"/>
      <c r="FH28" s="685"/>
      <c r="FI28" s="685"/>
      <c r="FJ28" s="685"/>
      <c r="FK28" s="685"/>
      <c r="FL28" s="685"/>
      <c r="FM28" s="685"/>
      <c r="FN28" s="685"/>
      <c r="FO28" s="685"/>
      <c r="FP28" s="685"/>
      <c r="FQ28" s="685"/>
      <c r="FR28" s="685"/>
      <c r="FS28" s="685"/>
      <c r="FT28" s="685"/>
      <c r="FU28" s="685"/>
      <c r="FV28" s="685"/>
      <c r="FW28" s="685"/>
      <c r="FX28" s="685"/>
      <c r="FY28" s="685"/>
      <c r="FZ28" s="685"/>
      <c r="GA28" s="685"/>
      <c r="GB28" s="685"/>
      <c r="GC28" s="685"/>
      <c r="GD28" s="685"/>
      <c r="GE28" s="685"/>
      <c r="GF28" s="685"/>
      <c r="GG28" s="685"/>
      <c r="GH28" s="685"/>
      <c r="GI28" s="685"/>
      <c r="GJ28" s="685"/>
      <c r="GK28" s="685"/>
      <c r="GL28" s="685"/>
      <c r="GM28" s="685"/>
      <c r="GN28" s="685"/>
      <c r="GO28" s="685"/>
      <c r="GP28" s="685"/>
      <c r="GQ28" s="685"/>
      <c r="GR28" s="685"/>
      <c r="GS28" s="685"/>
      <c r="GT28" s="685"/>
      <c r="GU28" s="685"/>
      <c r="GV28" s="685"/>
      <c r="GW28" s="685"/>
      <c r="GX28" s="685"/>
      <c r="GY28" s="685"/>
      <c r="GZ28" s="685"/>
      <c r="HA28" s="685"/>
      <c r="HB28" s="685"/>
      <c r="HC28" s="685"/>
      <c r="HD28" s="685"/>
      <c r="HE28" s="685"/>
      <c r="HF28" s="685"/>
      <c r="HG28" s="685"/>
      <c r="HH28" s="685"/>
      <c r="HI28" s="685"/>
      <c r="HJ28" s="685"/>
      <c r="HK28" s="685"/>
      <c r="HL28" s="685"/>
      <c r="HM28" s="685"/>
      <c r="HN28" s="685"/>
      <c r="HO28" s="685"/>
      <c r="HP28" s="685"/>
      <c r="HQ28" s="685"/>
      <c r="HR28" s="685"/>
      <c r="HS28" s="685"/>
      <c r="HT28" s="685"/>
      <c r="HU28" s="685"/>
      <c r="HV28" s="685"/>
      <c r="HW28" s="685"/>
      <c r="HX28" s="685"/>
      <c r="HY28" s="685"/>
      <c r="HZ28" s="685"/>
      <c r="IA28" s="685"/>
      <c r="IB28" s="685"/>
      <c r="IC28" s="685"/>
      <c r="ID28" s="685"/>
      <c r="IE28" s="685"/>
      <c r="IF28" s="685"/>
      <c r="IG28" s="685"/>
      <c r="IH28" s="685"/>
      <c r="II28" s="685"/>
      <c r="IJ28" s="685"/>
      <c r="IK28" s="685"/>
      <c r="IL28" s="685"/>
      <c r="IM28" s="685"/>
      <c r="IN28" s="685"/>
      <c r="IO28" s="685"/>
      <c r="IP28" s="685"/>
      <c r="IQ28" s="685"/>
      <c r="IR28" s="685"/>
      <c r="IS28" s="685"/>
      <c r="IT28" s="685"/>
      <c r="IU28" s="685"/>
      <c r="IV28" s="685"/>
    </row>
    <row r="29" spans="1:256" ht="13.5">
      <c r="A29" s="685"/>
      <c r="B29" s="685"/>
      <c r="C29" s="685"/>
      <c r="D29" s="685"/>
      <c r="E29" s="685"/>
      <c r="F29" s="685"/>
      <c r="G29" s="685"/>
      <c r="H29" s="685"/>
      <c r="I29" s="685"/>
      <c r="J29" s="685"/>
      <c r="K29" s="685"/>
      <c r="L29" s="685"/>
      <c r="M29" s="685"/>
      <c r="N29" s="685"/>
      <c r="O29" s="685"/>
      <c r="P29" s="685"/>
      <c r="Q29" s="685"/>
      <c r="R29" s="685"/>
      <c r="S29" s="685"/>
      <c r="T29" s="685"/>
      <c r="U29" s="685"/>
      <c r="V29" s="685"/>
      <c r="W29" s="685"/>
      <c r="X29" s="685"/>
      <c r="Y29" s="685"/>
      <c r="Z29" s="685"/>
      <c r="AA29" s="685"/>
      <c r="AB29" s="685"/>
      <c r="AC29" s="685"/>
      <c r="AD29" s="685"/>
      <c r="AE29" s="685"/>
      <c r="AF29" s="685"/>
      <c r="AG29" s="685"/>
      <c r="AH29" s="733"/>
      <c r="AI29" s="685"/>
      <c r="AJ29" s="685"/>
      <c r="AK29" s="685"/>
      <c r="AL29" s="685"/>
      <c r="AM29" s="685"/>
      <c r="AN29" s="685"/>
      <c r="AO29" s="685"/>
      <c r="AP29" s="685"/>
      <c r="AQ29" s="685"/>
      <c r="AR29" s="685"/>
      <c r="AS29" s="685"/>
      <c r="AT29" s="685"/>
      <c r="AU29" s="685"/>
      <c r="AV29" s="685"/>
      <c r="AW29" s="685"/>
      <c r="AX29" s="685"/>
      <c r="AY29" s="685"/>
      <c r="AZ29" s="685"/>
      <c r="BA29" s="685"/>
      <c r="BB29" s="685"/>
      <c r="BC29" s="685"/>
      <c r="BD29" s="685"/>
      <c r="BE29" s="685"/>
      <c r="BF29" s="685"/>
      <c r="BG29" s="685"/>
      <c r="BH29" s="685"/>
      <c r="BI29" s="685"/>
      <c r="BJ29" s="685"/>
      <c r="BK29" s="685"/>
      <c r="BL29" s="685"/>
      <c r="BM29" s="685"/>
      <c r="BN29" s="685"/>
      <c r="BO29" s="685"/>
      <c r="BP29" s="685"/>
      <c r="BQ29" s="685"/>
      <c r="BR29" s="685"/>
      <c r="BS29" s="685"/>
      <c r="BT29" s="685"/>
      <c r="BU29" s="685"/>
      <c r="BV29" s="685"/>
      <c r="BW29" s="685"/>
      <c r="BX29" s="685"/>
      <c r="BY29" s="685"/>
      <c r="BZ29" s="685"/>
      <c r="CA29" s="685"/>
      <c r="CB29" s="685"/>
      <c r="CC29" s="685"/>
      <c r="CD29" s="685"/>
      <c r="CE29" s="685"/>
      <c r="CF29" s="685"/>
      <c r="CG29" s="685"/>
      <c r="CH29" s="685"/>
      <c r="CI29" s="685"/>
      <c r="CJ29" s="685"/>
      <c r="CK29" s="685"/>
      <c r="CL29" s="685"/>
      <c r="CM29" s="685"/>
      <c r="CN29" s="685"/>
      <c r="CO29" s="685"/>
      <c r="CP29" s="685"/>
      <c r="CQ29" s="685"/>
      <c r="CR29" s="685"/>
      <c r="CS29" s="685"/>
      <c r="CT29" s="685"/>
      <c r="CU29" s="685"/>
      <c r="CV29" s="685"/>
      <c r="CW29" s="685"/>
      <c r="CX29" s="685"/>
      <c r="CY29" s="685"/>
      <c r="CZ29" s="685"/>
      <c r="DA29" s="685"/>
      <c r="DB29" s="685"/>
      <c r="DC29" s="685"/>
      <c r="DD29" s="685"/>
      <c r="DE29" s="685"/>
      <c r="DF29" s="685"/>
      <c r="DG29" s="685"/>
      <c r="DH29" s="685"/>
      <c r="DI29" s="685"/>
      <c r="DJ29" s="685"/>
      <c r="DK29" s="685"/>
      <c r="DL29" s="685"/>
      <c r="DM29" s="685"/>
      <c r="DN29" s="685"/>
      <c r="DO29" s="685"/>
      <c r="DP29" s="685"/>
      <c r="DQ29" s="685"/>
      <c r="DR29" s="685"/>
      <c r="DS29" s="685"/>
      <c r="DT29" s="685"/>
      <c r="DU29" s="685"/>
      <c r="DV29" s="685"/>
      <c r="DW29" s="685"/>
      <c r="DX29" s="685"/>
      <c r="DY29" s="685"/>
      <c r="DZ29" s="685"/>
      <c r="EA29" s="685"/>
      <c r="EB29" s="685"/>
      <c r="EC29" s="685"/>
      <c r="ED29" s="685"/>
      <c r="EE29" s="685"/>
      <c r="EF29" s="685"/>
      <c r="EG29" s="685"/>
      <c r="EH29" s="685"/>
      <c r="EI29" s="685"/>
      <c r="EJ29" s="685"/>
      <c r="EK29" s="685"/>
      <c r="EL29" s="685"/>
      <c r="EM29" s="685"/>
      <c r="EN29" s="685"/>
      <c r="EO29" s="685"/>
      <c r="EP29" s="685"/>
      <c r="EQ29" s="685"/>
      <c r="ER29" s="685"/>
      <c r="ES29" s="685"/>
      <c r="ET29" s="685"/>
      <c r="EU29" s="685"/>
      <c r="EV29" s="685"/>
      <c r="EW29" s="685"/>
      <c r="EX29" s="685"/>
      <c r="EY29" s="685"/>
      <c r="EZ29" s="685"/>
      <c r="FA29" s="685"/>
      <c r="FB29" s="685"/>
      <c r="FC29" s="685"/>
      <c r="FD29" s="685"/>
      <c r="FE29" s="685"/>
      <c r="FF29" s="685"/>
      <c r="FG29" s="685"/>
      <c r="FH29" s="685"/>
      <c r="FI29" s="685"/>
      <c r="FJ29" s="685"/>
      <c r="FK29" s="685"/>
      <c r="FL29" s="685"/>
      <c r="FM29" s="685"/>
      <c r="FN29" s="685"/>
      <c r="FO29" s="685"/>
      <c r="FP29" s="685"/>
      <c r="FQ29" s="685"/>
      <c r="FR29" s="685"/>
      <c r="FS29" s="685"/>
      <c r="FT29" s="685"/>
      <c r="FU29" s="685"/>
      <c r="FV29" s="685"/>
      <c r="FW29" s="685"/>
      <c r="FX29" s="685"/>
      <c r="FY29" s="685"/>
      <c r="FZ29" s="685"/>
      <c r="GA29" s="685"/>
      <c r="GB29" s="685"/>
      <c r="GC29" s="685"/>
      <c r="GD29" s="685"/>
      <c r="GE29" s="685"/>
      <c r="GF29" s="685"/>
      <c r="GG29" s="685"/>
      <c r="GH29" s="685"/>
      <c r="GI29" s="685"/>
      <c r="GJ29" s="685"/>
      <c r="GK29" s="685"/>
      <c r="GL29" s="685"/>
      <c r="GM29" s="685"/>
      <c r="GN29" s="685"/>
      <c r="GO29" s="685"/>
      <c r="GP29" s="685"/>
      <c r="GQ29" s="685"/>
      <c r="GR29" s="685"/>
      <c r="GS29" s="685"/>
      <c r="GT29" s="685"/>
      <c r="GU29" s="685"/>
      <c r="GV29" s="685"/>
      <c r="GW29" s="685"/>
      <c r="GX29" s="685"/>
      <c r="GY29" s="685"/>
      <c r="GZ29" s="685"/>
      <c r="HA29" s="685"/>
      <c r="HB29" s="685"/>
      <c r="HC29" s="685"/>
      <c r="HD29" s="685"/>
      <c r="HE29" s="685"/>
      <c r="HF29" s="685"/>
      <c r="HG29" s="685"/>
      <c r="HH29" s="685"/>
      <c r="HI29" s="685"/>
      <c r="HJ29" s="685"/>
      <c r="HK29" s="685"/>
      <c r="HL29" s="685"/>
      <c r="HM29" s="685"/>
      <c r="HN29" s="685"/>
      <c r="HO29" s="685"/>
      <c r="HP29" s="685"/>
      <c r="HQ29" s="685"/>
      <c r="HR29" s="685"/>
      <c r="HS29" s="685"/>
      <c r="HT29" s="685"/>
      <c r="HU29" s="685"/>
      <c r="HV29" s="685"/>
      <c r="HW29" s="685"/>
      <c r="HX29" s="685"/>
      <c r="HY29" s="685"/>
      <c r="HZ29" s="685"/>
      <c r="IA29" s="685"/>
      <c r="IB29" s="685"/>
      <c r="IC29" s="685"/>
      <c r="ID29" s="685"/>
      <c r="IE29" s="685"/>
      <c r="IF29" s="685"/>
      <c r="IG29" s="685"/>
      <c r="IH29" s="685"/>
      <c r="II29" s="685"/>
      <c r="IJ29" s="685"/>
      <c r="IK29" s="685"/>
      <c r="IL29" s="685"/>
      <c r="IM29" s="685"/>
      <c r="IN29" s="685"/>
      <c r="IO29" s="685"/>
      <c r="IP29" s="685"/>
      <c r="IQ29" s="685"/>
      <c r="IR29" s="685"/>
      <c r="IS29" s="685"/>
      <c r="IT29" s="685"/>
      <c r="IU29" s="685"/>
      <c r="IV29" s="685"/>
    </row>
    <row r="30" spans="1:256" ht="13.5">
      <c r="A30" s="685"/>
      <c r="B30" s="685"/>
      <c r="C30" s="685"/>
      <c r="D30" s="685"/>
      <c r="E30" s="685"/>
      <c r="F30" s="685"/>
      <c r="G30" s="685"/>
      <c r="H30" s="685"/>
      <c r="I30" s="685"/>
      <c r="J30" s="685"/>
      <c r="K30" s="685"/>
      <c r="L30" s="685"/>
      <c r="M30" s="685"/>
      <c r="N30" s="685"/>
      <c r="O30" s="685"/>
      <c r="P30" s="685"/>
      <c r="Q30" s="685"/>
      <c r="R30" s="685"/>
      <c r="S30" s="685"/>
      <c r="T30" s="685"/>
      <c r="U30" s="685"/>
      <c r="V30" s="685"/>
      <c r="W30" s="685"/>
      <c r="X30" s="685"/>
      <c r="Y30" s="685"/>
      <c r="Z30" s="685"/>
      <c r="AA30" s="685"/>
      <c r="AB30" s="685"/>
      <c r="AC30" s="685"/>
      <c r="AD30" s="685"/>
      <c r="AE30" s="685"/>
      <c r="AF30" s="685"/>
      <c r="AG30" s="685"/>
      <c r="AH30" s="733"/>
      <c r="AI30" s="685"/>
      <c r="AJ30" s="685"/>
      <c r="AK30" s="685"/>
      <c r="AL30" s="685"/>
      <c r="AM30" s="685"/>
      <c r="AN30" s="685"/>
      <c r="AO30" s="685"/>
      <c r="AP30" s="685"/>
      <c r="AQ30" s="685"/>
      <c r="AR30" s="685"/>
      <c r="AS30" s="685"/>
      <c r="AT30" s="685"/>
      <c r="AU30" s="685"/>
      <c r="AV30" s="685"/>
      <c r="AW30" s="685"/>
      <c r="AX30" s="685"/>
      <c r="AY30" s="685"/>
      <c r="AZ30" s="685"/>
      <c r="BA30" s="685"/>
      <c r="BB30" s="685"/>
      <c r="BC30" s="685"/>
      <c r="BD30" s="685"/>
      <c r="BE30" s="685"/>
      <c r="BF30" s="685"/>
      <c r="BG30" s="685"/>
      <c r="BH30" s="685"/>
      <c r="BI30" s="685"/>
      <c r="BJ30" s="685"/>
      <c r="BK30" s="685"/>
      <c r="BL30" s="685"/>
      <c r="BM30" s="685"/>
      <c r="BN30" s="685"/>
      <c r="BO30" s="685"/>
      <c r="BP30" s="685"/>
      <c r="BQ30" s="685"/>
      <c r="BR30" s="685"/>
      <c r="BS30" s="685"/>
      <c r="BT30" s="685"/>
      <c r="BU30" s="685"/>
      <c r="BV30" s="685"/>
      <c r="BW30" s="685"/>
      <c r="BX30" s="685"/>
      <c r="BY30" s="685"/>
      <c r="BZ30" s="685"/>
      <c r="CA30" s="685"/>
      <c r="CB30" s="685"/>
      <c r="CC30" s="685"/>
      <c r="CD30" s="685"/>
      <c r="CE30" s="685"/>
      <c r="CF30" s="685"/>
      <c r="CG30" s="685"/>
      <c r="CH30" s="685"/>
      <c r="CI30" s="685"/>
      <c r="CJ30" s="685"/>
      <c r="CK30" s="685"/>
      <c r="CL30" s="685"/>
      <c r="CM30" s="685"/>
      <c r="CN30" s="685"/>
      <c r="CO30" s="685"/>
      <c r="CP30" s="685"/>
      <c r="CQ30" s="685"/>
      <c r="CR30" s="685"/>
      <c r="CS30" s="685"/>
      <c r="CT30" s="685"/>
      <c r="CU30" s="685"/>
      <c r="CV30" s="685"/>
      <c r="CW30" s="685"/>
      <c r="CX30" s="685"/>
      <c r="CY30" s="685"/>
      <c r="CZ30" s="685"/>
      <c r="DA30" s="685"/>
      <c r="DB30" s="685"/>
      <c r="DC30" s="685"/>
      <c r="DD30" s="685"/>
      <c r="DE30" s="685"/>
      <c r="DF30" s="685"/>
      <c r="DG30" s="685"/>
      <c r="DH30" s="685"/>
      <c r="DI30" s="685"/>
      <c r="DJ30" s="685"/>
      <c r="DK30" s="685"/>
      <c r="DL30" s="685"/>
      <c r="DM30" s="685"/>
      <c r="DN30" s="685"/>
      <c r="DO30" s="685"/>
      <c r="DP30" s="685"/>
      <c r="DQ30" s="685"/>
      <c r="DR30" s="685"/>
      <c r="DS30" s="685"/>
      <c r="DT30" s="685"/>
      <c r="DU30" s="685"/>
      <c r="DV30" s="685"/>
      <c r="DW30" s="685"/>
      <c r="DX30" s="685"/>
      <c r="DY30" s="685"/>
      <c r="DZ30" s="685"/>
      <c r="EA30" s="685"/>
      <c r="EB30" s="685"/>
      <c r="EC30" s="685"/>
      <c r="ED30" s="685"/>
      <c r="EE30" s="685"/>
      <c r="EF30" s="685"/>
      <c r="EG30" s="685"/>
      <c r="EH30" s="685"/>
      <c r="EI30" s="685"/>
      <c r="EJ30" s="685"/>
      <c r="EK30" s="685"/>
      <c r="EL30" s="685"/>
      <c r="EM30" s="685"/>
      <c r="EN30" s="685"/>
      <c r="EO30" s="685"/>
      <c r="EP30" s="685"/>
      <c r="EQ30" s="685"/>
      <c r="ER30" s="685"/>
      <c r="ES30" s="685"/>
      <c r="ET30" s="685"/>
      <c r="EU30" s="685"/>
      <c r="EV30" s="685"/>
      <c r="EW30" s="685"/>
      <c r="EX30" s="685"/>
      <c r="EY30" s="685"/>
      <c r="EZ30" s="685"/>
      <c r="FA30" s="685"/>
      <c r="FB30" s="685"/>
      <c r="FC30" s="685"/>
      <c r="FD30" s="685"/>
      <c r="FE30" s="685"/>
      <c r="FF30" s="685"/>
      <c r="FG30" s="685"/>
      <c r="FH30" s="685"/>
      <c r="FI30" s="685"/>
      <c r="FJ30" s="685"/>
      <c r="FK30" s="685"/>
      <c r="FL30" s="685"/>
      <c r="FM30" s="685"/>
      <c r="FN30" s="685"/>
      <c r="FO30" s="685"/>
      <c r="FP30" s="685"/>
      <c r="FQ30" s="685"/>
      <c r="FR30" s="685"/>
      <c r="FS30" s="685"/>
      <c r="FT30" s="685"/>
      <c r="FU30" s="685"/>
      <c r="FV30" s="685"/>
      <c r="FW30" s="685"/>
      <c r="FX30" s="685"/>
      <c r="FY30" s="685"/>
      <c r="FZ30" s="685"/>
      <c r="GA30" s="685"/>
      <c r="GB30" s="685"/>
      <c r="GC30" s="685"/>
      <c r="GD30" s="685"/>
      <c r="GE30" s="685"/>
      <c r="GF30" s="685"/>
      <c r="GG30" s="685"/>
      <c r="GH30" s="685"/>
      <c r="GI30" s="685"/>
      <c r="GJ30" s="685"/>
      <c r="GK30" s="685"/>
      <c r="GL30" s="685"/>
      <c r="GM30" s="685"/>
      <c r="GN30" s="685"/>
      <c r="GO30" s="685"/>
      <c r="GP30" s="685"/>
      <c r="GQ30" s="685"/>
      <c r="GR30" s="685"/>
      <c r="GS30" s="685"/>
      <c r="GT30" s="685"/>
      <c r="GU30" s="685"/>
      <c r="GV30" s="685"/>
      <c r="GW30" s="685"/>
      <c r="GX30" s="685"/>
      <c r="GY30" s="685"/>
      <c r="GZ30" s="685"/>
      <c r="HA30" s="685"/>
      <c r="HB30" s="685"/>
      <c r="HC30" s="685"/>
      <c r="HD30" s="685"/>
      <c r="HE30" s="685"/>
      <c r="HF30" s="685"/>
      <c r="HG30" s="685"/>
      <c r="HH30" s="685"/>
      <c r="HI30" s="685"/>
      <c r="HJ30" s="685"/>
      <c r="HK30" s="685"/>
      <c r="HL30" s="685"/>
      <c r="HM30" s="685"/>
      <c r="HN30" s="685"/>
      <c r="HO30" s="685"/>
      <c r="HP30" s="685"/>
      <c r="HQ30" s="685"/>
      <c r="HR30" s="685"/>
      <c r="HS30" s="685"/>
      <c r="HT30" s="685"/>
      <c r="HU30" s="685"/>
      <c r="HV30" s="685"/>
      <c r="HW30" s="685"/>
      <c r="HX30" s="685"/>
      <c r="HY30" s="685"/>
      <c r="HZ30" s="685"/>
      <c r="IA30" s="685"/>
      <c r="IB30" s="685"/>
      <c r="IC30" s="685"/>
      <c r="ID30" s="685"/>
      <c r="IE30" s="685"/>
      <c r="IF30" s="685"/>
      <c r="IG30" s="685"/>
      <c r="IH30" s="685"/>
      <c r="II30" s="685"/>
      <c r="IJ30" s="685"/>
      <c r="IK30" s="685"/>
      <c r="IL30" s="685"/>
      <c r="IM30" s="685"/>
      <c r="IN30" s="685"/>
      <c r="IO30" s="685"/>
      <c r="IP30" s="685"/>
      <c r="IQ30" s="685"/>
      <c r="IR30" s="685"/>
      <c r="IS30" s="685"/>
      <c r="IT30" s="685"/>
      <c r="IU30" s="685"/>
      <c r="IV30" s="685"/>
    </row>
    <row r="31" spans="1:256" ht="13.5">
      <c r="A31" s="685"/>
      <c r="B31" s="685"/>
      <c r="C31" s="685"/>
      <c r="D31" s="685"/>
      <c r="E31" s="685"/>
      <c r="F31" s="685"/>
      <c r="G31" s="685"/>
      <c r="H31" s="685"/>
      <c r="I31" s="685"/>
      <c r="J31" s="685"/>
      <c r="K31" s="685"/>
      <c r="L31" s="685"/>
      <c r="M31" s="685"/>
      <c r="N31" s="685"/>
      <c r="O31" s="685"/>
      <c r="P31" s="685"/>
      <c r="Q31" s="685"/>
      <c r="R31" s="685"/>
      <c r="S31" s="685"/>
      <c r="T31" s="685"/>
      <c r="U31" s="685"/>
      <c r="V31" s="685"/>
      <c r="W31" s="685"/>
      <c r="X31" s="685"/>
      <c r="Y31" s="685"/>
      <c r="Z31" s="685"/>
      <c r="AA31" s="685"/>
      <c r="AB31" s="685"/>
      <c r="AC31" s="685"/>
      <c r="AD31" s="685"/>
      <c r="AE31" s="685"/>
      <c r="AF31" s="685"/>
      <c r="AG31" s="685"/>
      <c r="AH31" s="733"/>
      <c r="AI31" s="685"/>
      <c r="AJ31" s="685"/>
      <c r="AK31" s="685"/>
      <c r="AL31" s="685"/>
      <c r="AM31" s="685"/>
      <c r="AN31" s="685"/>
      <c r="AO31" s="685"/>
      <c r="AP31" s="685"/>
      <c r="AQ31" s="685"/>
      <c r="AR31" s="685"/>
      <c r="AS31" s="685"/>
      <c r="AT31" s="685"/>
      <c r="AU31" s="685"/>
      <c r="AV31" s="685"/>
      <c r="AW31" s="685"/>
      <c r="AX31" s="685"/>
      <c r="AY31" s="685"/>
      <c r="AZ31" s="685"/>
      <c r="BA31" s="685"/>
      <c r="BB31" s="685"/>
      <c r="BC31" s="685"/>
      <c r="BD31" s="685"/>
      <c r="BE31" s="685"/>
      <c r="BF31" s="685"/>
      <c r="BG31" s="685"/>
      <c r="BH31" s="685"/>
      <c r="BI31" s="685"/>
      <c r="BJ31" s="685"/>
      <c r="BK31" s="685"/>
      <c r="BL31" s="685"/>
      <c r="BM31" s="685"/>
      <c r="BN31" s="685"/>
      <c r="BO31" s="685"/>
      <c r="BP31" s="685"/>
      <c r="BQ31" s="685"/>
      <c r="BR31" s="685"/>
      <c r="BS31" s="685"/>
      <c r="BT31" s="685"/>
      <c r="BU31" s="685"/>
      <c r="BV31" s="685"/>
      <c r="BW31" s="685"/>
      <c r="BX31" s="685"/>
      <c r="BY31" s="685"/>
      <c r="BZ31" s="685"/>
      <c r="CA31" s="685"/>
      <c r="CB31" s="685"/>
      <c r="CC31" s="685"/>
      <c r="CD31" s="685"/>
      <c r="CE31" s="685"/>
      <c r="CF31" s="685"/>
      <c r="CG31" s="685"/>
      <c r="CH31" s="685"/>
      <c r="CI31" s="685"/>
      <c r="CJ31" s="685"/>
      <c r="CK31" s="685"/>
      <c r="CL31" s="685"/>
      <c r="CM31" s="685"/>
      <c r="CN31" s="685"/>
      <c r="CO31" s="685"/>
      <c r="CP31" s="685"/>
      <c r="CQ31" s="685"/>
      <c r="CR31" s="685"/>
      <c r="CS31" s="685"/>
      <c r="CT31" s="685"/>
      <c r="CU31" s="685"/>
      <c r="CV31" s="685"/>
      <c r="CW31" s="685"/>
      <c r="CX31" s="685"/>
      <c r="CY31" s="685"/>
      <c r="CZ31" s="685"/>
      <c r="DA31" s="685"/>
      <c r="DB31" s="685"/>
      <c r="DC31" s="685"/>
      <c r="DD31" s="685"/>
      <c r="DE31" s="685"/>
      <c r="DF31" s="685"/>
      <c r="DG31" s="685"/>
      <c r="DH31" s="685"/>
      <c r="DI31" s="685"/>
      <c r="DJ31" s="685"/>
      <c r="DK31" s="685"/>
      <c r="DL31" s="685"/>
      <c r="DM31" s="685"/>
      <c r="DN31" s="685"/>
      <c r="DO31" s="685"/>
      <c r="DP31" s="685"/>
      <c r="DQ31" s="685"/>
      <c r="DR31" s="685"/>
      <c r="DS31" s="685"/>
      <c r="DT31" s="685"/>
      <c r="DU31" s="685"/>
      <c r="DV31" s="685"/>
      <c r="DW31" s="685"/>
      <c r="DX31" s="685"/>
      <c r="DY31" s="685"/>
      <c r="DZ31" s="685"/>
      <c r="EA31" s="685"/>
      <c r="EB31" s="685"/>
      <c r="EC31" s="685"/>
      <c r="ED31" s="685"/>
      <c r="EE31" s="685"/>
      <c r="EF31" s="685"/>
      <c r="EG31" s="685"/>
      <c r="EH31" s="685"/>
      <c r="EI31" s="685"/>
      <c r="EJ31" s="685"/>
      <c r="EK31" s="685"/>
      <c r="EL31" s="685"/>
      <c r="EM31" s="685"/>
      <c r="EN31" s="685"/>
      <c r="EO31" s="685"/>
      <c r="EP31" s="685"/>
      <c r="EQ31" s="685"/>
      <c r="ER31" s="685"/>
      <c r="ES31" s="685"/>
      <c r="ET31" s="685"/>
      <c r="EU31" s="685"/>
      <c r="EV31" s="685"/>
      <c r="EW31" s="685"/>
      <c r="EX31" s="685"/>
      <c r="EY31" s="685"/>
      <c r="EZ31" s="685"/>
      <c r="FA31" s="685"/>
      <c r="FB31" s="685"/>
      <c r="FC31" s="685"/>
      <c r="FD31" s="685"/>
      <c r="FE31" s="685"/>
      <c r="FF31" s="685"/>
      <c r="FG31" s="685"/>
      <c r="FH31" s="685"/>
      <c r="FI31" s="685"/>
      <c r="FJ31" s="685"/>
      <c r="FK31" s="685"/>
      <c r="FL31" s="685"/>
      <c r="FM31" s="685"/>
      <c r="FN31" s="685"/>
      <c r="FO31" s="685"/>
      <c r="FP31" s="685"/>
      <c r="FQ31" s="685"/>
      <c r="FR31" s="685"/>
      <c r="FS31" s="685"/>
      <c r="FT31" s="685"/>
      <c r="FU31" s="685"/>
      <c r="FV31" s="685"/>
      <c r="FW31" s="685"/>
      <c r="FX31" s="685"/>
      <c r="FY31" s="685"/>
      <c r="FZ31" s="685"/>
      <c r="GA31" s="685"/>
      <c r="GB31" s="685"/>
      <c r="GC31" s="685"/>
      <c r="GD31" s="685"/>
      <c r="GE31" s="685"/>
      <c r="GF31" s="685"/>
      <c r="GG31" s="685"/>
      <c r="GH31" s="685"/>
      <c r="GI31" s="685"/>
      <c r="GJ31" s="685"/>
      <c r="GK31" s="685"/>
      <c r="GL31" s="685"/>
      <c r="GM31" s="685"/>
      <c r="GN31" s="685"/>
      <c r="GO31" s="685"/>
      <c r="GP31" s="685"/>
      <c r="GQ31" s="685"/>
      <c r="GR31" s="685"/>
      <c r="GS31" s="685"/>
      <c r="GT31" s="685"/>
      <c r="GU31" s="685"/>
      <c r="GV31" s="685"/>
      <c r="GW31" s="685"/>
      <c r="GX31" s="685"/>
      <c r="GY31" s="685"/>
      <c r="GZ31" s="685"/>
      <c r="HA31" s="685"/>
      <c r="HB31" s="685"/>
      <c r="HC31" s="685"/>
      <c r="HD31" s="685"/>
      <c r="HE31" s="685"/>
      <c r="HF31" s="685"/>
      <c r="HG31" s="685"/>
      <c r="HH31" s="685"/>
      <c r="HI31" s="685"/>
      <c r="HJ31" s="685"/>
      <c r="HK31" s="685"/>
      <c r="HL31" s="685"/>
      <c r="HM31" s="685"/>
      <c r="HN31" s="685"/>
      <c r="HO31" s="685"/>
      <c r="HP31" s="685"/>
      <c r="HQ31" s="685"/>
      <c r="HR31" s="685"/>
      <c r="HS31" s="685"/>
      <c r="HT31" s="685"/>
      <c r="HU31" s="685"/>
      <c r="HV31" s="685"/>
      <c r="HW31" s="685"/>
      <c r="HX31" s="685"/>
      <c r="HY31" s="685"/>
      <c r="HZ31" s="685"/>
      <c r="IA31" s="685"/>
      <c r="IB31" s="685"/>
      <c r="IC31" s="685"/>
      <c r="ID31" s="685"/>
      <c r="IE31" s="685"/>
      <c r="IF31" s="685"/>
      <c r="IG31" s="685"/>
      <c r="IH31" s="685"/>
      <c r="II31" s="685"/>
      <c r="IJ31" s="685"/>
      <c r="IK31" s="685"/>
      <c r="IL31" s="685"/>
      <c r="IM31" s="685"/>
      <c r="IN31" s="685"/>
      <c r="IO31" s="685"/>
      <c r="IP31" s="685"/>
      <c r="IQ31" s="685"/>
      <c r="IR31" s="685"/>
      <c r="IS31" s="685"/>
      <c r="IT31" s="685"/>
      <c r="IU31" s="685"/>
      <c r="IV31" s="685"/>
    </row>
    <row r="32" spans="1:256" ht="13.5">
      <c r="A32" s="685"/>
      <c r="B32" s="685"/>
      <c r="C32" s="685"/>
      <c r="D32" s="685"/>
      <c r="E32" s="685"/>
      <c r="F32" s="685"/>
      <c r="G32" s="685"/>
      <c r="H32" s="685"/>
      <c r="I32" s="685"/>
      <c r="J32" s="685"/>
      <c r="K32" s="685"/>
      <c r="L32" s="685"/>
      <c r="M32" s="685"/>
      <c r="N32" s="685"/>
      <c r="O32" s="685"/>
      <c r="P32" s="685"/>
      <c r="Q32" s="685"/>
      <c r="R32" s="685"/>
      <c r="S32" s="685"/>
      <c r="T32" s="685"/>
      <c r="U32" s="685"/>
      <c r="V32" s="685"/>
      <c r="W32" s="685"/>
      <c r="X32" s="685"/>
      <c r="Y32" s="685"/>
      <c r="Z32" s="685"/>
      <c r="AA32" s="685"/>
      <c r="AB32" s="685"/>
      <c r="AC32" s="685"/>
      <c r="AD32" s="685"/>
      <c r="AE32" s="685"/>
      <c r="AF32" s="685"/>
      <c r="AG32" s="685"/>
      <c r="AH32" s="733"/>
      <c r="AI32" s="685"/>
      <c r="AJ32" s="685"/>
      <c r="AK32" s="685"/>
      <c r="AL32" s="685"/>
      <c r="AM32" s="685"/>
      <c r="AN32" s="685"/>
      <c r="AO32" s="685"/>
      <c r="AP32" s="685"/>
      <c r="AQ32" s="685"/>
      <c r="AR32" s="685"/>
      <c r="AS32" s="685"/>
      <c r="AT32" s="685"/>
      <c r="AU32" s="685"/>
      <c r="AV32" s="685"/>
      <c r="AW32" s="685"/>
      <c r="AX32" s="685"/>
      <c r="AY32" s="685"/>
      <c r="AZ32" s="685"/>
      <c r="BA32" s="685"/>
      <c r="BB32" s="685"/>
      <c r="BC32" s="685"/>
      <c r="BD32" s="685"/>
      <c r="BE32" s="685"/>
      <c r="BF32" s="685"/>
      <c r="BG32" s="685"/>
      <c r="BH32" s="685"/>
      <c r="BI32" s="685"/>
      <c r="BJ32" s="685"/>
      <c r="BK32" s="685"/>
      <c r="BL32" s="685"/>
      <c r="BM32" s="685"/>
      <c r="BN32" s="685"/>
      <c r="BO32" s="685"/>
      <c r="BP32" s="685"/>
      <c r="BQ32" s="685"/>
      <c r="BR32" s="685"/>
      <c r="BS32" s="685"/>
      <c r="BT32" s="685"/>
      <c r="BU32" s="685"/>
      <c r="BV32" s="685"/>
      <c r="BW32" s="685"/>
      <c r="BX32" s="685"/>
      <c r="BY32" s="685"/>
      <c r="BZ32" s="685"/>
      <c r="CA32" s="685"/>
      <c r="CB32" s="685"/>
      <c r="CC32" s="685"/>
      <c r="CD32" s="685"/>
      <c r="CE32" s="685"/>
      <c r="CF32" s="685"/>
      <c r="CG32" s="685"/>
      <c r="CH32" s="685"/>
      <c r="CI32" s="685"/>
      <c r="CJ32" s="685"/>
      <c r="CK32" s="685"/>
      <c r="CL32" s="685"/>
      <c r="CM32" s="685"/>
      <c r="CN32" s="685"/>
      <c r="CO32" s="685"/>
      <c r="CP32" s="685"/>
      <c r="CQ32" s="685"/>
      <c r="CR32" s="685"/>
      <c r="CS32" s="685"/>
      <c r="CT32" s="685"/>
      <c r="CU32" s="685"/>
      <c r="CV32" s="685"/>
      <c r="CW32" s="685"/>
      <c r="CX32" s="685"/>
      <c r="CY32" s="685"/>
      <c r="CZ32" s="685"/>
      <c r="DA32" s="685"/>
      <c r="DB32" s="685"/>
      <c r="DC32" s="685"/>
      <c r="DD32" s="685"/>
      <c r="DE32" s="685"/>
      <c r="DF32" s="685"/>
      <c r="DG32" s="685"/>
      <c r="DH32" s="685"/>
      <c r="DI32" s="685"/>
      <c r="DJ32" s="685"/>
      <c r="DK32" s="685"/>
      <c r="DL32" s="685"/>
      <c r="DM32" s="685"/>
      <c r="DN32" s="685"/>
      <c r="DO32" s="685"/>
      <c r="DP32" s="685"/>
      <c r="DQ32" s="685"/>
      <c r="DR32" s="685"/>
      <c r="DS32" s="685"/>
      <c r="DT32" s="685"/>
      <c r="DU32" s="685"/>
      <c r="DV32" s="685"/>
      <c r="DW32" s="685"/>
      <c r="DX32" s="685"/>
      <c r="DY32" s="685"/>
      <c r="DZ32" s="685"/>
      <c r="EA32" s="685"/>
      <c r="EB32" s="685"/>
      <c r="EC32" s="685"/>
      <c r="ED32" s="685"/>
      <c r="EE32" s="685"/>
      <c r="EF32" s="685"/>
      <c r="EG32" s="685"/>
      <c r="EH32" s="685"/>
      <c r="EI32" s="685"/>
      <c r="EJ32" s="685"/>
      <c r="EK32" s="685"/>
      <c r="EL32" s="685"/>
      <c r="EM32" s="685"/>
      <c r="EN32" s="685"/>
      <c r="EO32" s="685"/>
      <c r="EP32" s="685"/>
      <c r="EQ32" s="685"/>
      <c r="ER32" s="685"/>
      <c r="ES32" s="685"/>
      <c r="ET32" s="685"/>
      <c r="EU32" s="685"/>
      <c r="EV32" s="685"/>
      <c r="EW32" s="685"/>
      <c r="EX32" s="685"/>
      <c r="EY32" s="685"/>
      <c r="EZ32" s="685"/>
      <c r="FA32" s="685"/>
      <c r="FB32" s="685"/>
      <c r="FC32" s="685"/>
      <c r="FD32" s="685"/>
      <c r="FE32" s="685"/>
      <c r="FF32" s="685"/>
      <c r="FG32" s="685"/>
      <c r="FH32" s="685"/>
      <c r="FI32" s="685"/>
      <c r="FJ32" s="685"/>
      <c r="FK32" s="685"/>
      <c r="FL32" s="685"/>
      <c r="FM32" s="685"/>
      <c r="FN32" s="685"/>
      <c r="FO32" s="685"/>
      <c r="FP32" s="685"/>
      <c r="FQ32" s="685"/>
      <c r="FR32" s="685"/>
      <c r="FS32" s="685"/>
      <c r="FT32" s="685"/>
      <c r="FU32" s="685"/>
      <c r="FV32" s="685"/>
      <c r="FW32" s="685"/>
      <c r="FX32" s="685"/>
      <c r="FY32" s="685"/>
      <c r="FZ32" s="685"/>
      <c r="GA32" s="685"/>
      <c r="GB32" s="685"/>
      <c r="GC32" s="685"/>
      <c r="GD32" s="685"/>
      <c r="GE32" s="685"/>
      <c r="GF32" s="685"/>
      <c r="GG32" s="685"/>
      <c r="GH32" s="685"/>
      <c r="GI32" s="685"/>
      <c r="GJ32" s="685"/>
      <c r="GK32" s="685"/>
      <c r="GL32" s="685"/>
      <c r="GM32" s="685"/>
      <c r="GN32" s="685"/>
      <c r="GO32" s="685"/>
      <c r="GP32" s="685"/>
      <c r="GQ32" s="685"/>
      <c r="GR32" s="685"/>
      <c r="GS32" s="685"/>
      <c r="GT32" s="685"/>
      <c r="GU32" s="685"/>
      <c r="GV32" s="685"/>
      <c r="GW32" s="685"/>
      <c r="GX32" s="685"/>
      <c r="GY32" s="685"/>
      <c r="GZ32" s="685"/>
      <c r="HA32" s="685"/>
      <c r="HB32" s="685"/>
      <c r="HC32" s="685"/>
      <c r="HD32" s="685"/>
      <c r="HE32" s="685"/>
      <c r="HF32" s="685"/>
      <c r="HG32" s="685"/>
      <c r="HH32" s="685"/>
      <c r="HI32" s="685"/>
      <c r="HJ32" s="685"/>
      <c r="HK32" s="685"/>
      <c r="HL32" s="685"/>
      <c r="HM32" s="685"/>
      <c r="HN32" s="685"/>
      <c r="HO32" s="685"/>
      <c r="HP32" s="685"/>
      <c r="HQ32" s="685"/>
      <c r="HR32" s="685"/>
      <c r="HS32" s="685"/>
      <c r="HT32" s="685"/>
      <c r="HU32" s="685"/>
      <c r="HV32" s="685"/>
      <c r="HW32" s="685"/>
      <c r="HX32" s="685"/>
      <c r="HY32" s="685"/>
      <c r="HZ32" s="685"/>
      <c r="IA32" s="685"/>
      <c r="IB32" s="685"/>
      <c r="IC32" s="685"/>
      <c r="ID32" s="685"/>
      <c r="IE32" s="685"/>
      <c r="IF32" s="685"/>
      <c r="IG32" s="685"/>
      <c r="IH32" s="685"/>
      <c r="II32" s="685"/>
      <c r="IJ32" s="685"/>
      <c r="IK32" s="685"/>
      <c r="IL32" s="685"/>
      <c r="IM32" s="685"/>
      <c r="IN32" s="685"/>
      <c r="IO32" s="685"/>
      <c r="IP32" s="685"/>
      <c r="IQ32" s="685"/>
      <c r="IR32" s="685"/>
      <c r="IS32" s="685"/>
      <c r="IT32" s="685"/>
      <c r="IU32" s="685"/>
      <c r="IV32" s="685"/>
    </row>
  </sheetData>
  <mergeCells count="45">
    <mergeCell ref="M22:Q22"/>
    <mergeCell ref="AE22:AG22"/>
    <mergeCell ref="AJ22:AL22"/>
    <mergeCell ref="M25:Q25"/>
    <mergeCell ref="L23:P23"/>
    <mergeCell ref="AE23:AG23"/>
    <mergeCell ref="AJ23:AL23"/>
    <mergeCell ref="M24:Q24"/>
    <mergeCell ref="AE24:AG24"/>
    <mergeCell ref="AJ24:AL24"/>
    <mergeCell ref="M19:Q19"/>
    <mergeCell ref="AE19:AG19"/>
    <mergeCell ref="AJ19:AL19"/>
    <mergeCell ref="L20:P20"/>
    <mergeCell ref="M21:Q21"/>
    <mergeCell ref="AE21:AG21"/>
    <mergeCell ref="AJ21:AL21"/>
    <mergeCell ref="AJ16:AL16"/>
    <mergeCell ref="L17:P17"/>
    <mergeCell ref="AE17:AG17"/>
    <mergeCell ref="AJ17:AL17"/>
    <mergeCell ref="M18:Q18"/>
    <mergeCell ref="AE18:AG18"/>
    <mergeCell ref="AJ18:AL18"/>
    <mergeCell ref="M13:Q13"/>
    <mergeCell ref="L14:P14"/>
    <mergeCell ref="M15:Q15"/>
    <mergeCell ref="M16:Q16"/>
    <mergeCell ref="AE16:AG16"/>
    <mergeCell ref="A7:AC7"/>
    <mergeCell ref="AE10:AK10"/>
    <mergeCell ref="L11:P11"/>
    <mergeCell ref="M12:Q12"/>
    <mergeCell ref="AE12:AK12"/>
    <mergeCell ref="J4:M5"/>
    <mergeCell ref="N4:Q5"/>
    <mergeCell ref="R4:U5"/>
    <mergeCell ref="V4:Y5"/>
    <mergeCell ref="Z4:AC5"/>
    <mergeCell ref="A1:AC2"/>
    <mergeCell ref="J3:M3"/>
    <mergeCell ref="N3:Q3"/>
    <mergeCell ref="R3:U3"/>
    <mergeCell ref="V3:Y3"/>
    <mergeCell ref="Z3:AC3"/>
  </mergeCells>
  <phoneticPr fontId="3" type="noConversion"/>
  <pageMargins left="0.59055118110236227" right="0.39370078740157483" top="0.59055118110236227" bottom="0.59055118110236227" header="0.19685039370078741" footer="0.19685039370078741"/>
  <pageSetup paperSize="9" scale="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56"/>
  <sheetViews>
    <sheetView view="pageBreakPreview" zoomScaleNormal="100" zoomScaleSheetLayoutView="100" workbookViewId="0">
      <selection activeCell="L27" sqref="L27"/>
    </sheetView>
  </sheetViews>
  <sheetFormatPr defaultRowHeight="12"/>
  <cols>
    <col min="1" max="3" width="3.77734375" style="12" customWidth="1"/>
    <col min="4" max="4" width="1.109375" style="12" customWidth="1"/>
    <col min="5" max="5" width="16" style="12" customWidth="1"/>
    <col min="6" max="6" width="1.109375" style="12" customWidth="1"/>
    <col min="7" max="9" width="14.21875" style="772" customWidth="1"/>
    <col min="10" max="10" width="27.109375" style="12" bestFit="1" customWidth="1"/>
    <col min="11" max="11" width="9" style="12" hidden="1" customWidth="1"/>
    <col min="12" max="12" width="15.21875" style="757" bestFit="1" customWidth="1"/>
    <col min="13" max="253" width="8.88671875" style="12"/>
    <col min="254" max="256" width="3.77734375" style="12" customWidth="1"/>
    <col min="257" max="257" width="1.109375" style="12" customWidth="1"/>
    <col min="258" max="258" width="16" style="12" customWidth="1"/>
    <col min="259" max="259" width="1.109375" style="12" customWidth="1"/>
    <col min="260" max="262" width="14.21875" style="12" customWidth="1"/>
    <col min="263" max="263" width="7.5546875" style="12" bestFit="1" customWidth="1"/>
    <col min="264" max="264" width="27.109375" style="12" bestFit="1" customWidth="1"/>
    <col min="265" max="265" width="9" style="12" bestFit="1" customWidth="1"/>
    <col min="266" max="266" width="15.21875" style="12" bestFit="1" customWidth="1"/>
    <col min="267" max="267" width="11.77734375" style="12" bestFit="1" customWidth="1"/>
    <col min="268" max="509" width="8.88671875" style="12"/>
    <col min="510" max="512" width="3.77734375" style="12" customWidth="1"/>
    <col min="513" max="513" width="1.109375" style="12" customWidth="1"/>
    <col min="514" max="514" width="16" style="12" customWidth="1"/>
    <col min="515" max="515" width="1.109375" style="12" customWidth="1"/>
    <col min="516" max="518" width="14.21875" style="12" customWidth="1"/>
    <col min="519" max="519" width="7.5546875" style="12" bestFit="1" customWidth="1"/>
    <col min="520" max="520" width="27.109375" style="12" bestFit="1" customWidth="1"/>
    <col min="521" max="521" width="9" style="12" bestFit="1" customWidth="1"/>
    <col min="522" max="522" width="15.21875" style="12" bestFit="1" customWidth="1"/>
    <col min="523" max="523" width="11.77734375" style="12" bestFit="1" customWidth="1"/>
    <col min="524" max="765" width="8.88671875" style="12"/>
    <col min="766" max="768" width="3.77734375" style="12" customWidth="1"/>
    <col min="769" max="769" width="1.109375" style="12" customWidth="1"/>
    <col min="770" max="770" width="16" style="12" customWidth="1"/>
    <col min="771" max="771" width="1.109375" style="12" customWidth="1"/>
    <col min="772" max="774" width="14.21875" style="12" customWidth="1"/>
    <col min="775" max="775" width="7.5546875" style="12" bestFit="1" customWidth="1"/>
    <col min="776" max="776" width="27.109375" style="12" bestFit="1" customWidth="1"/>
    <col min="777" max="777" width="9" style="12" bestFit="1" customWidth="1"/>
    <col min="778" max="778" width="15.21875" style="12" bestFit="1" customWidth="1"/>
    <col min="779" max="779" width="11.77734375" style="12" bestFit="1" customWidth="1"/>
    <col min="780" max="1021" width="8.88671875" style="12"/>
    <col min="1022" max="1024" width="3.77734375" style="12" customWidth="1"/>
    <col min="1025" max="1025" width="1.109375" style="12" customWidth="1"/>
    <col min="1026" max="1026" width="16" style="12" customWidth="1"/>
    <col min="1027" max="1027" width="1.109375" style="12" customWidth="1"/>
    <col min="1028" max="1030" width="14.21875" style="12" customWidth="1"/>
    <col min="1031" max="1031" width="7.5546875" style="12" bestFit="1" customWidth="1"/>
    <col min="1032" max="1032" width="27.109375" style="12" bestFit="1" customWidth="1"/>
    <col min="1033" max="1033" width="9" style="12" bestFit="1" customWidth="1"/>
    <col min="1034" max="1034" width="15.21875" style="12" bestFit="1" customWidth="1"/>
    <col min="1035" max="1035" width="11.77734375" style="12" bestFit="1" customWidth="1"/>
    <col min="1036" max="1277" width="8.88671875" style="12"/>
    <col min="1278" max="1280" width="3.77734375" style="12" customWidth="1"/>
    <col min="1281" max="1281" width="1.109375" style="12" customWidth="1"/>
    <col min="1282" max="1282" width="16" style="12" customWidth="1"/>
    <col min="1283" max="1283" width="1.109375" style="12" customWidth="1"/>
    <col min="1284" max="1286" width="14.21875" style="12" customWidth="1"/>
    <col min="1287" max="1287" width="7.5546875" style="12" bestFit="1" customWidth="1"/>
    <col min="1288" max="1288" width="27.109375" style="12" bestFit="1" customWidth="1"/>
    <col min="1289" max="1289" width="9" style="12" bestFit="1" customWidth="1"/>
    <col min="1290" max="1290" width="15.21875" style="12" bestFit="1" customWidth="1"/>
    <col min="1291" max="1291" width="11.77734375" style="12" bestFit="1" customWidth="1"/>
    <col min="1292" max="1533" width="8.88671875" style="12"/>
    <col min="1534" max="1536" width="3.77734375" style="12" customWidth="1"/>
    <col min="1537" max="1537" width="1.109375" style="12" customWidth="1"/>
    <col min="1538" max="1538" width="16" style="12" customWidth="1"/>
    <col min="1539" max="1539" width="1.109375" style="12" customWidth="1"/>
    <col min="1540" max="1542" width="14.21875" style="12" customWidth="1"/>
    <col min="1543" max="1543" width="7.5546875" style="12" bestFit="1" customWidth="1"/>
    <col min="1544" max="1544" width="27.109375" style="12" bestFit="1" customWidth="1"/>
    <col min="1545" max="1545" width="9" style="12" bestFit="1" customWidth="1"/>
    <col min="1546" max="1546" width="15.21875" style="12" bestFit="1" customWidth="1"/>
    <col min="1547" max="1547" width="11.77734375" style="12" bestFit="1" customWidth="1"/>
    <col min="1548" max="1789" width="8.88671875" style="12"/>
    <col min="1790" max="1792" width="3.77734375" style="12" customWidth="1"/>
    <col min="1793" max="1793" width="1.109375" style="12" customWidth="1"/>
    <col min="1794" max="1794" width="16" style="12" customWidth="1"/>
    <col min="1795" max="1795" width="1.109375" style="12" customWidth="1"/>
    <col min="1796" max="1798" width="14.21875" style="12" customWidth="1"/>
    <col min="1799" max="1799" width="7.5546875" style="12" bestFit="1" customWidth="1"/>
    <col min="1800" max="1800" width="27.109375" style="12" bestFit="1" customWidth="1"/>
    <col min="1801" max="1801" width="9" style="12" bestFit="1" customWidth="1"/>
    <col min="1802" max="1802" width="15.21875" style="12" bestFit="1" customWidth="1"/>
    <col min="1803" max="1803" width="11.77734375" style="12" bestFit="1" customWidth="1"/>
    <col min="1804" max="2045" width="8.88671875" style="12"/>
    <col min="2046" max="2048" width="3.77734375" style="12" customWidth="1"/>
    <col min="2049" max="2049" width="1.109375" style="12" customWidth="1"/>
    <col min="2050" max="2050" width="16" style="12" customWidth="1"/>
    <col min="2051" max="2051" width="1.109375" style="12" customWidth="1"/>
    <col min="2052" max="2054" width="14.21875" style="12" customWidth="1"/>
    <col min="2055" max="2055" width="7.5546875" style="12" bestFit="1" customWidth="1"/>
    <col min="2056" max="2056" width="27.109375" style="12" bestFit="1" customWidth="1"/>
    <col min="2057" max="2057" width="9" style="12" bestFit="1" customWidth="1"/>
    <col min="2058" max="2058" width="15.21875" style="12" bestFit="1" customWidth="1"/>
    <col min="2059" max="2059" width="11.77734375" style="12" bestFit="1" customWidth="1"/>
    <col min="2060" max="2301" width="8.88671875" style="12"/>
    <col min="2302" max="2304" width="3.77734375" style="12" customWidth="1"/>
    <col min="2305" max="2305" width="1.109375" style="12" customWidth="1"/>
    <col min="2306" max="2306" width="16" style="12" customWidth="1"/>
    <col min="2307" max="2307" width="1.109375" style="12" customWidth="1"/>
    <col min="2308" max="2310" width="14.21875" style="12" customWidth="1"/>
    <col min="2311" max="2311" width="7.5546875" style="12" bestFit="1" customWidth="1"/>
    <col min="2312" max="2312" width="27.109375" style="12" bestFit="1" customWidth="1"/>
    <col min="2313" max="2313" width="9" style="12" bestFit="1" customWidth="1"/>
    <col min="2314" max="2314" width="15.21875" style="12" bestFit="1" customWidth="1"/>
    <col min="2315" max="2315" width="11.77734375" style="12" bestFit="1" customWidth="1"/>
    <col min="2316" max="2557" width="8.88671875" style="12"/>
    <col min="2558" max="2560" width="3.77734375" style="12" customWidth="1"/>
    <col min="2561" max="2561" width="1.109375" style="12" customWidth="1"/>
    <col min="2562" max="2562" width="16" style="12" customWidth="1"/>
    <col min="2563" max="2563" width="1.109375" style="12" customWidth="1"/>
    <col min="2564" max="2566" width="14.21875" style="12" customWidth="1"/>
    <col min="2567" max="2567" width="7.5546875" style="12" bestFit="1" customWidth="1"/>
    <col min="2568" max="2568" width="27.109375" style="12" bestFit="1" customWidth="1"/>
    <col min="2569" max="2569" width="9" style="12" bestFit="1" customWidth="1"/>
    <col min="2570" max="2570" width="15.21875" style="12" bestFit="1" customWidth="1"/>
    <col min="2571" max="2571" width="11.77734375" style="12" bestFit="1" customWidth="1"/>
    <col min="2572" max="2813" width="8.88671875" style="12"/>
    <col min="2814" max="2816" width="3.77734375" style="12" customWidth="1"/>
    <col min="2817" max="2817" width="1.109375" style="12" customWidth="1"/>
    <col min="2818" max="2818" width="16" style="12" customWidth="1"/>
    <col min="2819" max="2819" width="1.109375" style="12" customWidth="1"/>
    <col min="2820" max="2822" width="14.21875" style="12" customWidth="1"/>
    <col min="2823" max="2823" width="7.5546875" style="12" bestFit="1" customWidth="1"/>
    <col min="2824" max="2824" width="27.109375" style="12" bestFit="1" customWidth="1"/>
    <col min="2825" max="2825" width="9" style="12" bestFit="1" customWidth="1"/>
    <col min="2826" max="2826" width="15.21875" style="12" bestFit="1" customWidth="1"/>
    <col min="2827" max="2827" width="11.77734375" style="12" bestFit="1" customWidth="1"/>
    <col min="2828" max="3069" width="8.88671875" style="12"/>
    <col min="3070" max="3072" width="3.77734375" style="12" customWidth="1"/>
    <col min="3073" max="3073" width="1.109375" style="12" customWidth="1"/>
    <col min="3074" max="3074" width="16" style="12" customWidth="1"/>
    <col min="3075" max="3075" width="1.109375" style="12" customWidth="1"/>
    <col min="3076" max="3078" width="14.21875" style="12" customWidth="1"/>
    <col min="3079" max="3079" width="7.5546875" style="12" bestFit="1" customWidth="1"/>
    <col min="3080" max="3080" width="27.109375" style="12" bestFit="1" customWidth="1"/>
    <col min="3081" max="3081" width="9" style="12" bestFit="1" customWidth="1"/>
    <col min="3082" max="3082" width="15.21875" style="12" bestFit="1" customWidth="1"/>
    <col min="3083" max="3083" width="11.77734375" style="12" bestFit="1" customWidth="1"/>
    <col min="3084" max="3325" width="8.88671875" style="12"/>
    <col min="3326" max="3328" width="3.77734375" style="12" customWidth="1"/>
    <col min="3329" max="3329" width="1.109375" style="12" customWidth="1"/>
    <col min="3330" max="3330" width="16" style="12" customWidth="1"/>
    <col min="3331" max="3331" width="1.109375" style="12" customWidth="1"/>
    <col min="3332" max="3334" width="14.21875" style="12" customWidth="1"/>
    <col min="3335" max="3335" width="7.5546875" style="12" bestFit="1" customWidth="1"/>
    <col min="3336" max="3336" width="27.109375" style="12" bestFit="1" customWidth="1"/>
    <col min="3337" max="3337" width="9" style="12" bestFit="1" customWidth="1"/>
    <col min="3338" max="3338" width="15.21875" style="12" bestFit="1" customWidth="1"/>
    <col min="3339" max="3339" width="11.77734375" style="12" bestFit="1" customWidth="1"/>
    <col min="3340" max="3581" width="8.88671875" style="12"/>
    <col min="3582" max="3584" width="3.77734375" style="12" customWidth="1"/>
    <col min="3585" max="3585" width="1.109375" style="12" customWidth="1"/>
    <col min="3586" max="3586" width="16" style="12" customWidth="1"/>
    <col min="3587" max="3587" width="1.109375" style="12" customWidth="1"/>
    <col min="3588" max="3590" width="14.21875" style="12" customWidth="1"/>
    <col min="3591" max="3591" width="7.5546875" style="12" bestFit="1" customWidth="1"/>
    <col min="3592" max="3592" width="27.109375" style="12" bestFit="1" customWidth="1"/>
    <col min="3593" max="3593" width="9" style="12" bestFit="1" customWidth="1"/>
    <col min="3594" max="3594" width="15.21875" style="12" bestFit="1" customWidth="1"/>
    <col min="3595" max="3595" width="11.77734375" style="12" bestFit="1" customWidth="1"/>
    <col min="3596" max="3837" width="8.88671875" style="12"/>
    <col min="3838" max="3840" width="3.77734375" style="12" customWidth="1"/>
    <col min="3841" max="3841" width="1.109375" style="12" customWidth="1"/>
    <col min="3842" max="3842" width="16" style="12" customWidth="1"/>
    <col min="3843" max="3843" width="1.109375" style="12" customWidth="1"/>
    <col min="3844" max="3846" width="14.21875" style="12" customWidth="1"/>
    <col min="3847" max="3847" width="7.5546875" style="12" bestFit="1" customWidth="1"/>
    <col min="3848" max="3848" width="27.109375" style="12" bestFit="1" customWidth="1"/>
    <col min="3849" max="3849" width="9" style="12" bestFit="1" customWidth="1"/>
    <col min="3850" max="3850" width="15.21875" style="12" bestFit="1" customWidth="1"/>
    <col min="3851" max="3851" width="11.77734375" style="12" bestFit="1" customWidth="1"/>
    <col min="3852" max="4093" width="8.88671875" style="12"/>
    <col min="4094" max="4096" width="3.77734375" style="12" customWidth="1"/>
    <col min="4097" max="4097" width="1.109375" style="12" customWidth="1"/>
    <col min="4098" max="4098" width="16" style="12" customWidth="1"/>
    <col min="4099" max="4099" width="1.109375" style="12" customWidth="1"/>
    <col min="4100" max="4102" width="14.21875" style="12" customWidth="1"/>
    <col min="4103" max="4103" width="7.5546875" style="12" bestFit="1" customWidth="1"/>
    <col min="4104" max="4104" width="27.109375" style="12" bestFit="1" customWidth="1"/>
    <col min="4105" max="4105" width="9" style="12" bestFit="1" customWidth="1"/>
    <col min="4106" max="4106" width="15.21875" style="12" bestFit="1" customWidth="1"/>
    <col min="4107" max="4107" width="11.77734375" style="12" bestFit="1" customWidth="1"/>
    <col min="4108" max="4349" width="8.88671875" style="12"/>
    <col min="4350" max="4352" width="3.77734375" style="12" customWidth="1"/>
    <col min="4353" max="4353" width="1.109375" style="12" customWidth="1"/>
    <col min="4354" max="4354" width="16" style="12" customWidth="1"/>
    <col min="4355" max="4355" width="1.109375" style="12" customWidth="1"/>
    <col min="4356" max="4358" width="14.21875" style="12" customWidth="1"/>
    <col min="4359" max="4359" width="7.5546875" style="12" bestFit="1" customWidth="1"/>
    <col min="4360" max="4360" width="27.109375" style="12" bestFit="1" customWidth="1"/>
    <col min="4361" max="4361" width="9" style="12" bestFit="1" customWidth="1"/>
    <col min="4362" max="4362" width="15.21875" style="12" bestFit="1" customWidth="1"/>
    <col min="4363" max="4363" width="11.77734375" style="12" bestFit="1" customWidth="1"/>
    <col min="4364" max="4605" width="8.88671875" style="12"/>
    <col min="4606" max="4608" width="3.77734375" style="12" customWidth="1"/>
    <col min="4609" max="4609" width="1.109375" style="12" customWidth="1"/>
    <col min="4610" max="4610" width="16" style="12" customWidth="1"/>
    <col min="4611" max="4611" width="1.109375" style="12" customWidth="1"/>
    <col min="4612" max="4614" width="14.21875" style="12" customWidth="1"/>
    <col min="4615" max="4615" width="7.5546875" style="12" bestFit="1" customWidth="1"/>
    <col min="4616" max="4616" width="27.109375" style="12" bestFit="1" customWidth="1"/>
    <col min="4617" max="4617" width="9" style="12" bestFit="1" customWidth="1"/>
    <col min="4618" max="4618" width="15.21875" style="12" bestFit="1" customWidth="1"/>
    <col min="4619" max="4619" width="11.77734375" style="12" bestFit="1" customWidth="1"/>
    <col min="4620" max="4861" width="8.88671875" style="12"/>
    <col min="4862" max="4864" width="3.77734375" style="12" customWidth="1"/>
    <col min="4865" max="4865" width="1.109375" style="12" customWidth="1"/>
    <col min="4866" max="4866" width="16" style="12" customWidth="1"/>
    <col min="4867" max="4867" width="1.109375" style="12" customWidth="1"/>
    <col min="4868" max="4870" width="14.21875" style="12" customWidth="1"/>
    <col min="4871" max="4871" width="7.5546875" style="12" bestFit="1" customWidth="1"/>
    <col min="4872" max="4872" width="27.109375" style="12" bestFit="1" customWidth="1"/>
    <col min="4873" max="4873" width="9" style="12" bestFit="1" customWidth="1"/>
    <col min="4874" max="4874" width="15.21875" style="12" bestFit="1" customWidth="1"/>
    <col min="4875" max="4875" width="11.77734375" style="12" bestFit="1" customWidth="1"/>
    <col min="4876" max="5117" width="8.88671875" style="12"/>
    <col min="5118" max="5120" width="3.77734375" style="12" customWidth="1"/>
    <col min="5121" max="5121" width="1.109375" style="12" customWidth="1"/>
    <col min="5122" max="5122" width="16" style="12" customWidth="1"/>
    <col min="5123" max="5123" width="1.109375" style="12" customWidth="1"/>
    <col min="5124" max="5126" width="14.21875" style="12" customWidth="1"/>
    <col min="5127" max="5127" width="7.5546875" style="12" bestFit="1" customWidth="1"/>
    <col min="5128" max="5128" width="27.109375" style="12" bestFit="1" customWidth="1"/>
    <col min="5129" max="5129" width="9" style="12" bestFit="1" customWidth="1"/>
    <col min="5130" max="5130" width="15.21875" style="12" bestFit="1" customWidth="1"/>
    <col min="5131" max="5131" width="11.77734375" style="12" bestFit="1" customWidth="1"/>
    <col min="5132" max="5373" width="8.88671875" style="12"/>
    <col min="5374" max="5376" width="3.77734375" style="12" customWidth="1"/>
    <col min="5377" max="5377" width="1.109375" style="12" customWidth="1"/>
    <col min="5378" max="5378" width="16" style="12" customWidth="1"/>
    <col min="5379" max="5379" width="1.109375" style="12" customWidth="1"/>
    <col min="5380" max="5382" width="14.21875" style="12" customWidth="1"/>
    <col min="5383" max="5383" width="7.5546875" style="12" bestFit="1" customWidth="1"/>
    <col min="5384" max="5384" width="27.109375" style="12" bestFit="1" customWidth="1"/>
    <col min="5385" max="5385" width="9" style="12" bestFit="1" customWidth="1"/>
    <col min="5386" max="5386" width="15.21875" style="12" bestFit="1" customWidth="1"/>
    <col min="5387" max="5387" width="11.77734375" style="12" bestFit="1" customWidth="1"/>
    <col min="5388" max="5629" width="8.88671875" style="12"/>
    <col min="5630" max="5632" width="3.77734375" style="12" customWidth="1"/>
    <col min="5633" max="5633" width="1.109375" style="12" customWidth="1"/>
    <col min="5634" max="5634" width="16" style="12" customWidth="1"/>
    <col min="5635" max="5635" width="1.109375" style="12" customWidth="1"/>
    <col min="5636" max="5638" width="14.21875" style="12" customWidth="1"/>
    <col min="5639" max="5639" width="7.5546875" style="12" bestFit="1" customWidth="1"/>
    <col min="5640" max="5640" width="27.109375" style="12" bestFit="1" customWidth="1"/>
    <col min="5641" max="5641" width="9" style="12" bestFit="1" customWidth="1"/>
    <col min="5642" max="5642" width="15.21875" style="12" bestFit="1" customWidth="1"/>
    <col min="5643" max="5643" width="11.77734375" style="12" bestFit="1" customWidth="1"/>
    <col min="5644" max="5885" width="8.88671875" style="12"/>
    <col min="5886" max="5888" width="3.77734375" style="12" customWidth="1"/>
    <col min="5889" max="5889" width="1.109375" style="12" customWidth="1"/>
    <col min="5890" max="5890" width="16" style="12" customWidth="1"/>
    <col min="5891" max="5891" width="1.109375" style="12" customWidth="1"/>
    <col min="5892" max="5894" width="14.21875" style="12" customWidth="1"/>
    <col min="5895" max="5895" width="7.5546875" style="12" bestFit="1" customWidth="1"/>
    <col min="5896" max="5896" width="27.109375" style="12" bestFit="1" customWidth="1"/>
    <col min="5897" max="5897" width="9" style="12" bestFit="1" customWidth="1"/>
    <col min="5898" max="5898" width="15.21875" style="12" bestFit="1" customWidth="1"/>
    <col min="5899" max="5899" width="11.77734375" style="12" bestFit="1" customWidth="1"/>
    <col min="5900" max="6141" width="8.88671875" style="12"/>
    <col min="6142" max="6144" width="3.77734375" style="12" customWidth="1"/>
    <col min="6145" max="6145" width="1.109375" style="12" customWidth="1"/>
    <col min="6146" max="6146" width="16" style="12" customWidth="1"/>
    <col min="6147" max="6147" width="1.109375" style="12" customWidth="1"/>
    <col min="6148" max="6150" width="14.21875" style="12" customWidth="1"/>
    <col min="6151" max="6151" width="7.5546875" style="12" bestFit="1" customWidth="1"/>
    <col min="6152" max="6152" width="27.109375" style="12" bestFit="1" customWidth="1"/>
    <col min="6153" max="6153" width="9" style="12" bestFit="1" customWidth="1"/>
    <col min="6154" max="6154" width="15.21875" style="12" bestFit="1" customWidth="1"/>
    <col min="6155" max="6155" width="11.77734375" style="12" bestFit="1" customWidth="1"/>
    <col min="6156" max="6397" width="8.88671875" style="12"/>
    <col min="6398" max="6400" width="3.77734375" style="12" customWidth="1"/>
    <col min="6401" max="6401" width="1.109375" style="12" customWidth="1"/>
    <col min="6402" max="6402" width="16" style="12" customWidth="1"/>
    <col min="6403" max="6403" width="1.109375" style="12" customWidth="1"/>
    <col min="6404" max="6406" width="14.21875" style="12" customWidth="1"/>
    <col min="6407" max="6407" width="7.5546875" style="12" bestFit="1" customWidth="1"/>
    <col min="6408" max="6408" width="27.109375" style="12" bestFit="1" customWidth="1"/>
    <col min="6409" max="6409" width="9" style="12" bestFit="1" customWidth="1"/>
    <col min="6410" max="6410" width="15.21875" style="12" bestFit="1" customWidth="1"/>
    <col min="6411" max="6411" width="11.77734375" style="12" bestFit="1" customWidth="1"/>
    <col min="6412" max="6653" width="8.88671875" style="12"/>
    <col min="6654" max="6656" width="3.77734375" style="12" customWidth="1"/>
    <col min="6657" max="6657" width="1.109375" style="12" customWidth="1"/>
    <col min="6658" max="6658" width="16" style="12" customWidth="1"/>
    <col min="6659" max="6659" width="1.109375" style="12" customWidth="1"/>
    <col min="6660" max="6662" width="14.21875" style="12" customWidth="1"/>
    <col min="6663" max="6663" width="7.5546875" style="12" bestFit="1" customWidth="1"/>
    <col min="6664" max="6664" width="27.109375" style="12" bestFit="1" customWidth="1"/>
    <col min="6665" max="6665" width="9" style="12" bestFit="1" customWidth="1"/>
    <col min="6666" max="6666" width="15.21875" style="12" bestFit="1" customWidth="1"/>
    <col min="6667" max="6667" width="11.77734375" style="12" bestFit="1" customWidth="1"/>
    <col min="6668" max="6909" width="8.88671875" style="12"/>
    <col min="6910" max="6912" width="3.77734375" style="12" customWidth="1"/>
    <col min="6913" max="6913" width="1.109375" style="12" customWidth="1"/>
    <col min="6914" max="6914" width="16" style="12" customWidth="1"/>
    <col min="6915" max="6915" width="1.109375" style="12" customWidth="1"/>
    <col min="6916" max="6918" width="14.21875" style="12" customWidth="1"/>
    <col min="6919" max="6919" width="7.5546875" style="12" bestFit="1" customWidth="1"/>
    <col min="6920" max="6920" width="27.109375" style="12" bestFit="1" customWidth="1"/>
    <col min="6921" max="6921" width="9" style="12" bestFit="1" customWidth="1"/>
    <col min="6922" max="6922" width="15.21875" style="12" bestFit="1" customWidth="1"/>
    <col min="6923" max="6923" width="11.77734375" style="12" bestFit="1" customWidth="1"/>
    <col min="6924" max="7165" width="8.88671875" style="12"/>
    <col min="7166" max="7168" width="3.77734375" style="12" customWidth="1"/>
    <col min="7169" max="7169" width="1.109375" style="12" customWidth="1"/>
    <col min="7170" max="7170" width="16" style="12" customWidth="1"/>
    <col min="7171" max="7171" width="1.109375" style="12" customWidth="1"/>
    <col min="7172" max="7174" width="14.21875" style="12" customWidth="1"/>
    <col min="7175" max="7175" width="7.5546875" style="12" bestFit="1" customWidth="1"/>
    <col min="7176" max="7176" width="27.109375" style="12" bestFit="1" customWidth="1"/>
    <col min="7177" max="7177" width="9" style="12" bestFit="1" customWidth="1"/>
    <col min="7178" max="7178" width="15.21875" style="12" bestFit="1" customWidth="1"/>
    <col min="7179" max="7179" width="11.77734375" style="12" bestFit="1" customWidth="1"/>
    <col min="7180" max="7421" width="8.88671875" style="12"/>
    <col min="7422" max="7424" width="3.77734375" style="12" customWidth="1"/>
    <col min="7425" max="7425" width="1.109375" style="12" customWidth="1"/>
    <col min="7426" max="7426" width="16" style="12" customWidth="1"/>
    <col min="7427" max="7427" width="1.109375" style="12" customWidth="1"/>
    <col min="7428" max="7430" width="14.21875" style="12" customWidth="1"/>
    <col min="7431" max="7431" width="7.5546875" style="12" bestFit="1" customWidth="1"/>
    <col min="7432" max="7432" width="27.109375" style="12" bestFit="1" customWidth="1"/>
    <col min="7433" max="7433" width="9" style="12" bestFit="1" customWidth="1"/>
    <col min="7434" max="7434" width="15.21875" style="12" bestFit="1" customWidth="1"/>
    <col min="7435" max="7435" width="11.77734375" style="12" bestFit="1" customWidth="1"/>
    <col min="7436" max="7677" width="8.88671875" style="12"/>
    <col min="7678" max="7680" width="3.77734375" style="12" customWidth="1"/>
    <col min="7681" max="7681" width="1.109375" style="12" customWidth="1"/>
    <col min="7682" max="7682" width="16" style="12" customWidth="1"/>
    <col min="7683" max="7683" width="1.109375" style="12" customWidth="1"/>
    <col min="7684" max="7686" width="14.21875" style="12" customWidth="1"/>
    <col min="7687" max="7687" width="7.5546875" style="12" bestFit="1" customWidth="1"/>
    <col min="7688" max="7688" width="27.109375" style="12" bestFit="1" customWidth="1"/>
    <col min="7689" max="7689" width="9" style="12" bestFit="1" customWidth="1"/>
    <col min="7690" max="7690" width="15.21875" style="12" bestFit="1" customWidth="1"/>
    <col min="7691" max="7691" width="11.77734375" style="12" bestFit="1" customWidth="1"/>
    <col min="7692" max="7933" width="8.88671875" style="12"/>
    <col min="7934" max="7936" width="3.77734375" style="12" customWidth="1"/>
    <col min="7937" max="7937" width="1.109375" style="12" customWidth="1"/>
    <col min="7938" max="7938" width="16" style="12" customWidth="1"/>
    <col min="7939" max="7939" width="1.109375" style="12" customWidth="1"/>
    <col min="7940" max="7942" width="14.21875" style="12" customWidth="1"/>
    <col min="7943" max="7943" width="7.5546875" style="12" bestFit="1" customWidth="1"/>
    <col min="7944" max="7944" width="27.109375" style="12" bestFit="1" customWidth="1"/>
    <col min="7945" max="7945" width="9" style="12" bestFit="1" customWidth="1"/>
    <col min="7946" max="7946" width="15.21875" style="12" bestFit="1" customWidth="1"/>
    <col min="7947" max="7947" width="11.77734375" style="12" bestFit="1" customWidth="1"/>
    <col min="7948" max="8189" width="8.88671875" style="12"/>
    <col min="8190" max="8192" width="3.77734375" style="12" customWidth="1"/>
    <col min="8193" max="8193" width="1.109375" style="12" customWidth="1"/>
    <col min="8194" max="8194" width="16" style="12" customWidth="1"/>
    <col min="8195" max="8195" width="1.109375" style="12" customWidth="1"/>
    <col min="8196" max="8198" width="14.21875" style="12" customWidth="1"/>
    <col min="8199" max="8199" width="7.5546875" style="12" bestFit="1" customWidth="1"/>
    <col min="8200" max="8200" width="27.109375" style="12" bestFit="1" customWidth="1"/>
    <col min="8201" max="8201" width="9" style="12" bestFit="1" customWidth="1"/>
    <col min="8202" max="8202" width="15.21875" style="12" bestFit="1" customWidth="1"/>
    <col min="8203" max="8203" width="11.77734375" style="12" bestFit="1" customWidth="1"/>
    <col min="8204" max="8445" width="8.88671875" style="12"/>
    <col min="8446" max="8448" width="3.77734375" style="12" customWidth="1"/>
    <col min="8449" max="8449" width="1.109375" style="12" customWidth="1"/>
    <col min="8450" max="8450" width="16" style="12" customWidth="1"/>
    <col min="8451" max="8451" width="1.109375" style="12" customWidth="1"/>
    <col min="8452" max="8454" width="14.21875" style="12" customWidth="1"/>
    <col min="8455" max="8455" width="7.5546875" style="12" bestFit="1" customWidth="1"/>
    <col min="8456" max="8456" width="27.109375" style="12" bestFit="1" customWidth="1"/>
    <col min="8457" max="8457" width="9" style="12" bestFit="1" customWidth="1"/>
    <col min="8458" max="8458" width="15.21875" style="12" bestFit="1" customWidth="1"/>
    <col min="8459" max="8459" width="11.77734375" style="12" bestFit="1" customWidth="1"/>
    <col min="8460" max="8701" width="8.88671875" style="12"/>
    <col min="8702" max="8704" width="3.77734375" style="12" customWidth="1"/>
    <col min="8705" max="8705" width="1.109375" style="12" customWidth="1"/>
    <col min="8706" max="8706" width="16" style="12" customWidth="1"/>
    <col min="8707" max="8707" width="1.109375" style="12" customWidth="1"/>
    <col min="8708" max="8710" width="14.21875" style="12" customWidth="1"/>
    <col min="8711" max="8711" width="7.5546875" style="12" bestFit="1" customWidth="1"/>
    <col min="8712" max="8712" width="27.109375" style="12" bestFit="1" customWidth="1"/>
    <col min="8713" max="8713" width="9" style="12" bestFit="1" customWidth="1"/>
    <col min="8714" max="8714" width="15.21875" style="12" bestFit="1" customWidth="1"/>
    <col min="8715" max="8715" width="11.77734375" style="12" bestFit="1" customWidth="1"/>
    <col min="8716" max="8957" width="8.88671875" style="12"/>
    <col min="8958" max="8960" width="3.77734375" style="12" customWidth="1"/>
    <col min="8961" max="8961" width="1.109375" style="12" customWidth="1"/>
    <col min="8962" max="8962" width="16" style="12" customWidth="1"/>
    <col min="8963" max="8963" width="1.109375" style="12" customWidth="1"/>
    <col min="8964" max="8966" width="14.21875" style="12" customWidth="1"/>
    <col min="8967" max="8967" width="7.5546875" style="12" bestFit="1" customWidth="1"/>
    <col min="8968" max="8968" width="27.109375" style="12" bestFit="1" customWidth="1"/>
    <col min="8969" max="8969" width="9" style="12" bestFit="1" customWidth="1"/>
    <col min="8970" max="8970" width="15.21875" style="12" bestFit="1" customWidth="1"/>
    <col min="8971" max="8971" width="11.77734375" style="12" bestFit="1" customWidth="1"/>
    <col min="8972" max="9213" width="8.88671875" style="12"/>
    <col min="9214" max="9216" width="3.77734375" style="12" customWidth="1"/>
    <col min="9217" max="9217" width="1.109375" style="12" customWidth="1"/>
    <col min="9218" max="9218" width="16" style="12" customWidth="1"/>
    <col min="9219" max="9219" width="1.109375" style="12" customWidth="1"/>
    <col min="9220" max="9222" width="14.21875" style="12" customWidth="1"/>
    <col min="9223" max="9223" width="7.5546875" style="12" bestFit="1" customWidth="1"/>
    <col min="9224" max="9224" width="27.109375" style="12" bestFit="1" customWidth="1"/>
    <col min="9225" max="9225" width="9" style="12" bestFit="1" customWidth="1"/>
    <col min="9226" max="9226" width="15.21875" style="12" bestFit="1" customWidth="1"/>
    <col min="9227" max="9227" width="11.77734375" style="12" bestFit="1" customWidth="1"/>
    <col min="9228" max="9469" width="8.88671875" style="12"/>
    <col min="9470" max="9472" width="3.77734375" style="12" customWidth="1"/>
    <col min="9473" max="9473" width="1.109375" style="12" customWidth="1"/>
    <col min="9474" max="9474" width="16" style="12" customWidth="1"/>
    <col min="9475" max="9475" width="1.109375" style="12" customWidth="1"/>
    <col min="9476" max="9478" width="14.21875" style="12" customWidth="1"/>
    <col min="9479" max="9479" width="7.5546875" style="12" bestFit="1" customWidth="1"/>
    <col min="9480" max="9480" width="27.109375" style="12" bestFit="1" customWidth="1"/>
    <col min="9481" max="9481" width="9" style="12" bestFit="1" customWidth="1"/>
    <col min="9482" max="9482" width="15.21875" style="12" bestFit="1" customWidth="1"/>
    <col min="9483" max="9483" width="11.77734375" style="12" bestFit="1" customWidth="1"/>
    <col min="9484" max="9725" width="8.88671875" style="12"/>
    <col min="9726" max="9728" width="3.77734375" style="12" customWidth="1"/>
    <col min="9729" max="9729" width="1.109375" style="12" customWidth="1"/>
    <col min="9730" max="9730" width="16" style="12" customWidth="1"/>
    <col min="9731" max="9731" width="1.109375" style="12" customWidth="1"/>
    <col min="9732" max="9734" width="14.21875" style="12" customWidth="1"/>
    <col min="9735" max="9735" width="7.5546875" style="12" bestFit="1" customWidth="1"/>
    <col min="9736" max="9736" width="27.109375" style="12" bestFit="1" customWidth="1"/>
    <col min="9737" max="9737" width="9" style="12" bestFit="1" customWidth="1"/>
    <col min="9738" max="9738" width="15.21875" style="12" bestFit="1" customWidth="1"/>
    <col min="9739" max="9739" width="11.77734375" style="12" bestFit="1" customWidth="1"/>
    <col min="9740" max="9981" width="8.88671875" style="12"/>
    <col min="9982" max="9984" width="3.77734375" style="12" customWidth="1"/>
    <col min="9985" max="9985" width="1.109375" style="12" customWidth="1"/>
    <col min="9986" max="9986" width="16" style="12" customWidth="1"/>
    <col min="9987" max="9987" width="1.109375" style="12" customWidth="1"/>
    <col min="9988" max="9990" width="14.21875" style="12" customWidth="1"/>
    <col min="9991" max="9991" width="7.5546875" style="12" bestFit="1" customWidth="1"/>
    <col min="9992" max="9992" width="27.109375" style="12" bestFit="1" customWidth="1"/>
    <col min="9993" max="9993" width="9" style="12" bestFit="1" customWidth="1"/>
    <col min="9994" max="9994" width="15.21875" style="12" bestFit="1" customWidth="1"/>
    <col min="9995" max="9995" width="11.77734375" style="12" bestFit="1" customWidth="1"/>
    <col min="9996" max="10237" width="8.88671875" style="12"/>
    <col min="10238" max="10240" width="3.77734375" style="12" customWidth="1"/>
    <col min="10241" max="10241" width="1.109375" style="12" customWidth="1"/>
    <col min="10242" max="10242" width="16" style="12" customWidth="1"/>
    <col min="10243" max="10243" width="1.109375" style="12" customWidth="1"/>
    <col min="10244" max="10246" width="14.21875" style="12" customWidth="1"/>
    <col min="10247" max="10247" width="7.5546875" style="12" bestFit="1" customWidth="1"/>
    <col min="10248" max="10248" width="27.109375" style="12" bestFit="1" customWidth="1"/>
    <col min="10249" max="10249" width="9" style="12" bestFit="1" customWidth="1"/>
    <col min="10250" max="10250" width="15.21875" style="12" bestFit="1" customWidth="1"/>
    <col min="10251" max="10251" width="11.77734375" style="12" bestFit="1" customWidth="1"/>
    <col min="10252" max="10493" width="8.88671875" style="12"/>
    <col min="10494" max="10496" width="3.77734375" style="12" customWidth="1"/>
    <col min="10497" max="10497" width="1.109375" style="12" customWidth="1"/>
    <col min="10498" max="10498" width="16" style="12" customWidth="1"/>
    <col min="10499" max="10499" width="1.109375" style="12" customWidth="1"/>
    <col min="10500" max="10502" width="14.21875" style="12" customWidth="1"/>
    <col min="10503" max="10503" width="7.5546875" style="12" bestFit="1" customWidth="1"/>
    <col min="10504" max="10504" width="27.109375" style="12" bestFit="1" customWidth="1"/>
    <col min="10505" max="10505" width="9" style="12" bestFit="1" customWidth="1"/>
    <col min="10506" max="10506" width="15.21875" style="12" bestFit="1" customWidth="1"/>
    <col min="10507" max="10507" width="11.77734375" style="12" bestFit="1" customWidth="1"/>
    <col min="10508" max="10749" width="8.88671875" style="12"/>
    <col min="10750" max="10752" width="3.77734375" style="12" customWidth="1"/>
    <col min="10753" max="10753" width="1.109375" style="12" customWidth="1"/>
    <col min="10754" max="10754" width="16" style="12" customWidth="1"/>
    <col min="10755" max="10755" width="1.109375" style="12" customWidth="1"/>
    <col min="10756" max="10758" width="14.21875" style="12" customWidth="1"/>
    <col min="10759" max="10759" width="7.5546875" style="12" bestFit="1" customWidth="1"/>
    <col min="10760" max="10760" width="27.109375" style="12" bestFit="1" customWidth="1"/>
    <col min="10761" max="10761" width="9" style="12" bestFit="1" customWidth="1"/>
    <col min="10762" max="10762" width="15.21875" style="12" bestFit="1" customWidth="1"/>
    <col min="10763" max="10763" width="11.77734375" style="12" bestFit="1" customWidth="1"/>
    <col min="10764" max="11005" width="8.88671875" style="12"/>
    <col min="11006" max="11008" width="3.77734375" style="12" customWidth="1"/>
    <col min="11009" max="11009" width="1.109375" style="12" customWidth="1"/>
    <col min="11010" max="11010" width="16" style="12" customWidth="1"/>
    <col min="11011" max="11011" width="1.109375" style="12" customWidth="1"/>
    <col min="11012" max="11014" width="14.21875" style="12" customWidth="1"/>
    <col min="11015" max="11015" width="7.5546875" style="12" bestFit="1" customWidth="1"/>
    <col min="11016" max="11016" width="27.109375" style="12" bestFit="1" customWidth="1"/>
    <col min="11017" max="11017" width="9" style="12" bestFit="1" customWidth="1"/>
    <col min="11018" max="11018" width="15.21875" style="12" bestFit="1" customWidth="1"/>
    <col min="11019" max="11019" width="11.77734375" style="12" bestFit="1" customWidth="1"/>
    <col min="11020" max="11261" width="8.88671875" style="12"/>
    <col min="11262" max="11264" width="3.77734375" style="12" customWidth="1"/>
    <col min="11265" max="11265" width="1.109375" style="12" customWidth="1"/>
    <col min="11266" max="11266" width="16" style="12" customWidth="1"/>
    <col min="11267" max="11267" width="1.109375" style="12" customWidth="1"/>
    <col min="11268" max="11270" width="14.21875" style="12" customWidth="1"/>
    <col min="11271" max="11271" width="7.5546875" style="12" bestFit="1" customWidth="1"/>
    <col min="11272" max="11272" width="27.109375" style="12" bestFit="1" customWidth="1"/>
    <col min="11273" max="11273" width="9" style="12" bestFit="1" customWidth="1"/>
    <col min="11274" max="11274" width="15.21875" style="12" bestFit="1" customWidth="1"/>
    <col min="11275" max="11275" width="11.77734375" style="12" bestFit="1" customWidth="1"/>
    <col min="11276" max="11517" width="8.88671875" style="12"/>
    <col min="11518" max="11520" width="3.77734375" style="12" customWidth="1"/>
    <col min="11521" max="11521" width="1.109375" style="12" customWidth="1"/>
    <col min="11522" max="11522" width="16" style="12" customWidth="1"/>
    <col min="11523" max="11523" width="1.109375" style="12" customWidth="1"/>
    <col min="11524" max="11526" width="14.21875" style="12" customWidth="1"/>
    <col min="11527" max="11527" width="7.5546875" style="12" bestFit="1" customWidth="1"/>
    <col min="11528" max="11528" width="27.109375" style="12" bestFit="1" customWidth="1"/>
    <col min="11529" max="11529" width="9" style="12" bestFit="1" customWidth="1"/>
    <col min="11530" max="11530" width="15.21875" style="12" bestFit="1" customWidth="1"/>
    <col min="11531" max="11531" width="11.77734375" style="12" bestFit="1" customWidth="1"/>
    <col min="11532" max="11773" width="8.88671875" style="12"/>
    <col min="11774" max="11776" width="3.77734375" style="12" customWidth="1"/>
    <col min="11777" max="11777" width="1.109375" style="12" customWidth="1"/>
    <col min="11778" max="11778" width="16" style="12" customWidth="1"/>
    <col min="11779" max="11779" width="1.109375" style="12" customWidth="1"/>
    <col min="11780" max="11782" width="14.21875" style="12" customWidth="1"/>
    <col min="11783" max="11783" width="7.5546875" style="12" bestFit="1" customWidth="1"/>
    <col min="11784" max="11784" width="27.109375" style="12" bestFit="1" customWidth="1"/>
    <col min="11785" max="11785" width="9" style="12" bestFit="1" customWidth="1"/>
    <col min="11786" max="11786" width="15.21875" style="12" bestFit="1" customWidth="1"/>
    <col min="11787" max="11787" width="11.77734375" style="12" bestFit="1" customWidth="1"/>
    <col min="11788" max="12029" width="8.88671875" style="12"/>
    <col min="12030" max="12032" width="3.77734375" style="12" customWidth="1"/>
    <col min="12033" max="12033" width="1.109375" style="12" customWidth="1"/>
    <col min="12034" max="12034" width="16" style="12" customWidth="1"/>
    <col min="12035" max="12035" width="1.109375" style="12" customWidth="1"/>
    <col min="12036" max="12038" width="14.21875" style="12" customWidth="1"/>
    <col min="12039" max="12039" width="7.5546875" style="12" bestFit="1" customWidth="1"/>
    <col min="12040" max="12040" width="27.109375" style="12" bestFit="1" customWidth="1"/>
    <col min="12041" max="12041" width="9" style="12" bestFit="1" customWidth="1"/>
    <col min="12042" max="12042" width="15.21875" style="12" bestFit="1" customWidth="1"/>
    <col min="12043" max="12043" width="11.77734375" style="12" bestFit="1" customWidth="1"/>
    <col min="12044" max="12285" width="8.88671875" style="12"/>
    <col min="12286" max="12288" width="3.77734375" style="12" customWidth="1"/>
    <col min="12289" max="12289" width="1.109375" style="12" customWidth="1"/>
    <col min="12290" max="12290" width="16" style="12" customWidth="1"/>
    <col min="12291" max="12291" width="1.109375" style="12" customWidth="1"/>
    <col min="12292" max="12294" width="14.21875" style="12" customWidth="1"/>
    <col min="12295" max="12295" width="7.5546875" style="12" bestFit="1" customWidth="1"/>
    <col min="12296" max="12296" width="27.109375" style="12" bestFit="1" customWidth="1"/>
    <col min="12297" max="12297" width="9" style="12" bestFit="1" customWidth="1"/>
    <col min="12298" max="12298" width="15.21875" style="12" bestFit="1" customWidth="1"/>
    <col min="12299" max="12299" width="11.77734375" style="12" bestFit="1" customWidth="1"/>
    <col min="12300" max="12541" width="8.88671875" style="12"/>
    <col min="12542" max="12544" width="3.77734375" style="12" customWidth="1"/>
    <col min="12545" max="12545" width="1.109375" style="12" customWidth="1"/>
    <col min="12546" max="12546" width="16" style="12" customWidth="1"/>
    <col min="12547" max="12547" width="1.109375" style="12" customWidth="1"/>
    <col min="12548" max="12550" width="14.21875" style="12" customWidth="1"/>
    <col min="12551" max="12551" width="7.5546875" style="12" bestFit="1" customWidth="1"/>
    <col min="12552" max="12552" width="27.109375" style="12" bestFit="1" customWidth="1"/>
    <col min="12553" max="12553" width="9" style="12" bestFit="1" customWidth="1"/>
    <col min="12554" max="12554" width="15.21875" style="12" bestFit="1" customWidth="1"/>
    <col min="12555" max="12555" width="11.77734375" style="12" bestFit="1" customWidth="1"/>
    <col min="12556" max="12797" width="8.88671875" style="12"/>
    <col min="12798" max="12800" width="3.77734375" style="12" customWidth="1"/>
    <col min="12801" max="12801" width="1.109375" style="12" customWidth="1"/>
    <col min="12802" max="12802" width="16" style="12" customWidth="1"/>
    <col min="12803" max="12803" width="1.109375" style="12" customWidth="1"/>
    <col min="12804" max="12806" width="14.21875" style="12" customWidth="1"/>
    <col min="12807" max="12807" width="7.5546875" style="12" bestFit="1" customWidth="1"/>
    <col min="12808" max="12808" width="27.109375" style="12" bestFit="1" customWidth="1"/>
    <col min="12809" max="12809" width="9" style="12" bestFit="1" customWidth="1"/>
    <col min="12810" max="12810" width="15.21875" style="12" bestFit="1" customWidth="1"/>
    <col min="12811" max="12811" width="11.77734375" style="12" bestFit="1" customWidth="1"/>
    <col min="12812" max="13053" width="8.88671875" style="12"/>
    <col min="13054" max="13056" width="3.77734375" style="12" customWidth="1"/>
    <col min="13057" max="13057" width="1.109375" style="12" customWidth="1"/>
    <col min="13058" max="13058" width="16" style="12" customWidth="1"/>
    <col min="13059" max="13059" width="1.109375" style="12" customWidth="1"/>
    <col min="13060" max="13062" width="14.21875" style="12" customWidth="1"/>
    <col min="13063" max="13063" width="7.5546875" style="12" bestFit="1" customWidth="1"/>
    <col min="13064" max="13064" width="27.109375" style="12" bestFit="1" customWidth="1"/>
    <col min="13065" max="13065" width="9" style="12" bestFit="1" customWidth="1"/>
    <col min="13066" max="13066" width="15.21875" style="12" bestFit="1" customWidth="1"/>
    <col min="13067" max="13067" width="11.77734375" style="12" bestFit="1" customWidth="1"/>
    <col min="13068" max="13309" width="8.88671875" style="12"/>
    <col min="13310" max="13312" width="3.77734375" style="12" customWidth="1"/>
    <col min="13313" max="13313" width="1.109375" style="12" customWidth="1"/>
    <col min="13314" max="13314" width="16" style="12" customWidth="1"/>
    <col min="13315" max="13315" width="1.109375" style="12" customWidth="1"/>
    <col min="13316" max="13318" width="14.21875" style="12" customWidth="1"/>
    <col min="13319" max="13319" width="7.5546875" style="12" bestFit="1" customWidth="1"/>
    <col min="13320" max="13320" width="27.109375" style="12" bestFit="1" customWidth="1"/>
    <col min="13321" max="13321" width="9" style="12" bestFit="1" customWidth="1"/>
    <col min="13322" max="13322" width="15.21875" style="12" bestFit="1" customWidth="1"/>
    <col min="13323" max="13323" width="11.77734375" style="12" bestFit="1" customWidth="1"/>
    <col min="13324" max="13565" width="8.88671875" style="12"/>
    <col min="13566" max="13568" width="3.77734375" style="12" customWidth="1"/>
    <col min="13569" max="13569" width="1.109375" style="12" customWidth="1"/>
    <col min="13570" max="13570" width="16" style="12" customWidth="1"/>
    <col min="13571" max="13571" width="1.109375" style="12" customWidth="1"/>
    <col min="13572" max="13574" width="14.21875" style="12" customWidth="1"/>
    <col min="13575" max="13575" width="7.5546875" style="12" bestFit="1" customWidth="1"/>
    <col min="13576" max="13576" width="27.109375" style="12" bestFit="1" customWidth="1"/>
    <col min="13577" max="13577" width="9" style="12" bestFit="1" customWidth="1"/>
    <col min="13578" max="13578" width="15.21875" style="12" bestFit="1" customWidth="1"/>
    <col min="13579" max="13579" width="11.77734375" style="12" bestFit="1" customWidth="1"/>
    <col min="13580" max="13821" width="8.88671875" style="12"/>
    <col min="13822" max="13824" width="3.77734375" style="12" customWidth="1"/>
    <col min="13825" max="13825" width="1.109375" style="12" customWidth="1"/>
    <col min="13826" max="13826" width="16" style="12" customWidth="1"/>
    <col min="13827" max="13827" width="1.109375" style="12" customWidth="1"/>
    <col min="13828" max="13830" width="14.21875" style="12" customWidth="1"/>
    <col min="13831" max="13831" width="7.5546875" style="12" bestFit="1" customWidth="1"/>
    <col min="13832" max="13832" width="27.109375" style="12" bestFit="1" customWidth="1"/>
    <col min="13833" max="13833" width="9" style="12" bestFit="1" customWidth="1"/>
    <col min="13834" max="13834" width="15.21875" style="12" bestFit="1" customWidth="1"/>
    <col min="13835" max="13835" width="11.77734375" style="12" bestFit="1" customWidth="1"/>
    <col min="13836" max="14077" width="8.88671875" style="12"/>
    <col min="14078" max="14080" width="3.77734375" style="12" customWidth="1"/>
    <col min="14081" max="14081" width="1.109375" style="12" customWidth="1"/>
    <col min="14082" max="14082" width="16" style="12" customWidth="1"/>
    <col min="14083" max="14083" width="1.109375" style="12" customWidth="1"/>
    <col min="14084" max="14086" width="14.21875" style="12" customWidth="1"/>
    <col min="14087" max="14087" width="7.5546875" style="12" bestFit="1" customWidth="1"/>
    <col min="14088" max="14088" width="27.109375" style="12" bestFit="1" customWidth="1"/>
    <col min="14089" max="14089" width="9" style="12" bestFit="1" customWidth="1"/>
    <col min="14090" max="14090" width="15.21875" style="12" bestFit="1" customWidth="1"/>
    <col min="14091" max="14091" width="11.77734375" style="12" bestFit="1" customWidth="1"/>
    <col min="14092" max="14333" width="8.88671875" style="12"/>
    <col min="14334" max="14336" width="3.77734375" style="12" customWidth="1"/>
    <col min="14337" max="14337" width="1.109375" style="12" customWidth="1"/>
    <col min="14338" max="14338" width="16" style="12" customWidth="1"/>
    <col min="14339" max="14339" width="1.109375" style="12" customWidth="1"/>
    <col min="14340" max="14342" width="14.21875" style="12" customWidth="1"/>
    <col min="14343" max="14343" width="7.5546875" style="12" bestFit="1" customWidth="1"/>
    <col min="14344" max="14344" width="27.109375" style="12" bestFit="1" customWidth="1"/>
    <col min="14345" max="14345" width="9" style="12" bestFit="1" customWidth="1"/>
    <col min="14346" max="14346" width="15.21875" style="12" bestFit="1" customWidth="1"/>
    <col min="14347" max="14347" width="11.77734375" style="12" bestFit="1" customWidth="1"/>
    <col min="14348" max="14589" width="8.88671875" style="12"/>
    <col min="14590" max="14592" width="3.77734375" style="12" customWidth="1"/>
    <col min="14593" max="14593" width="1.109375" style="12" customWidth="1"/>
    <col min="14594" max="14594" width="16" style="12" customWidth="1"/>
    <col min="14595" max="14595" width="1.109375" style="12" customWidth="1"/>
    <col min="14596" max="14598" width="14.21875" style="12" customWidth="1"/>
    <col min="14599" max="14599" width="7.5546875" style="12" bestFit="1" customWidth="1"/>
    <col min="14600" max="14600" width="27.109375" style="12" bestFit="1" customWidth="1"/>
    <col min="14601" max="14601" width="9" style="12" bestFit="1" customWidth="1"/>
    <col min="14602" max="14602" width="15.21875" style="12" bestFit="1" customWidth="1"/>
    <col min="14603" max="14603" width="11.77734375" style="12" bestFit="1" customWidth="1"/>
    <col min="14604" max="14845" width="8.88671875" style="12"/>
    <col min="14846" max="14848" width="3.77734375" style="12" customWidth="1"/>
    <col min="14849" max="14849" width="1.109375" style="12" customWidth="1"/>
    <col min="14850" max="14850" width="16" style="12" customWidth="1"/>
    <col min="14851" max="14851" width="1.109375" style="12" customWidth="1"/>
    <col min="14852" max="14854" width="14.21875" style="12" customWidth="1"/>
    <col min="14855" max="14855" width="7.5546875" style="12" bestFit="1" customWidth="1"/>
    <col min="14856" max="14856" width="27.109375" style="12" bestFit="1" customWidth="1"/>
    <col min="14857" max="14857" width="9" style="12" bestFit="1" customWidth="1"/>
    <col min="14858" max="14858" width="15.21875" style="12" bestFit="1" customWidth="1"/>
    <col min="14859" max="14859" width="11.77734375" style="12" bestFit="1" customWidth="1"/>
    <col min="14860" max="15101" width="8.88671875" style="12"/>
    <col min="15102" max="15104" width="3.77734375" style="12" customWidth="1"/>
    <col min="15105" max="15105" width="1.109375" style="12" customWidth="1"/>
    <col min="15106" max="15106" width="16" style="12" customWidth="1"/>
    <col min="15107" max="15107" width="1.109375" style="12" customWidth="1"/>
    <col min="15108" max="15110" width="14.21875" style="12" customWidth="1"/>
    <col min="15111" max="15111" width="7.5546875" style="12" bestFit="1" customWidth="1"/>
    <col min="15112" max="15112" width="27.109375" style="12" bestFit="1" customWidth="1"/>
    <col min="15113" max="15113" width="9" style="12" bestFit="1" customWidth="1"/>
    <col min="15114" max="15114" width="15.21875" style="12" bestFit="1" customWidth="1"/>
    <col min="15115" max="15115" width="11.77734375" style="12" bestFit="1" customWidth="1"/>
    <col min="15116" max="15357" width="8.88671875" style="12"/>
    <col min="15358" max="15360" width="3.77734375" style="12" customWidth="1"/>
    <col min="15361" max="15361" width="1.109375" style="12" customWidth="1"/>
    <col min="15362" max="15362" width="16" style="12" customWidth="1"/>
    <col min="15363" max="15363" width="1.109375" style="12" customWidth="1"/>
    <col min="15364" max="15366" width="14.21875" style="12" customWidth="1"/>
    <col min="15367" max="15367" width="7.5546875" style="12" bestFit="1" customWidth="1"/>
    <col min="15368" max="15368" width="27.109375" style="12" bestFit="1" customWidth="1"/>
    <col min="15369" max="15369" width="9" style="12" bestFit="1" customWidth="1"/>
    <col min="15370" max="15370" width="15.21875" style="12" bestFit="1" customWidth="1"/>
    <col min="15371" max="15371" width="11.77734375" style="12" bestFit="1" customWidth="1"/>
    <col min="15372" max="15613" width="8.88671875" style="12"/>
    <col min="15614" max="15616" width="3.77734375" style="12" customWidth="1"/>
    <col min="15617" max="15617" width="1.109375" style="12" customWidth="1"/>
    <col min="15618" max="15618" width="16" style="12" customWidth="1"/>
    <col min="15619" max="15619" width="1.109375" style="12" customWidth="1"/>
    <col min="15620" max="15622" width="14.21875" style="12" customWidth="1"/>
    <col min="15623" max="15623" width="7.5546875" style="12" bestFit="1" customWidth="1"/>
    <col min="15624" max="15624" width="27.109375" style="12" bestFit="1" customWidth="1"/>
    <col min="15625" max="15625" width="9" style="12" bestFit="1" customWidth="1"/>
    <col min="15626" max="15626" width="15.21875" style="12" bestFit="1" customWidth="1"/>
    <col min="15627" max="15627" width="11.77734375" style="12" bestFit="1" customWidth="1"/>
    <col min="15628" max="15869" width="8.88671875" style="12"/>
    <col min="15870" max="15872" width="3.77734375" style="12" customWidth="1"/>
    <col min="15873" max="15873" width="1.109375" style="12" customWidth="1"/>
    <col min="15874" max="15874" width="16" style="12" customWidth="1"/>
    <col min="15875" max="15875" width="1.109375" style="12" customWidth="1"/>
    <col min="15876" max="15878" width="14.21875" style="12" customWidth="1"/>
    <col min="15879" max="15879" width="7.5546875" style="12" bestFit="1" customWidth="1"/>
    <col min="15880" max="15880" width="27.109375" style="12" bestFit="1" customWidth="1"/>
    <col min="15881" max="15881" width="9" style="12" bestFit="1" customWidth="1"/>
    <col min="15882" max="15882" width="15.21875" style="12" bestFit="1" customWidth="1"/>
    <col min="15883" max="15883" width="11.77734375" style="12" bestFit="1" customWidth="1"/>
    <col min="15884" max="16125" width="8.88671875" style="12"/>
    <col min="16126" max="16128" width="3.77734375" style="12" customWidth="1"/>
    <col min="16129" max="16129" width="1.109375" style="12" customWidth="1"/>
    <col min="16130" max="16130" width="16" style="12" customWidth="1"/>
    <col min="16131" max="16131" width="1.109375" style="12" customWidth="1"/>
    <col min="16132" max="16134" width="14.21875" style="12" customWidth="1"/>
    <col min="16135" max="16135" width="7.5546875" style="12" bestFit="1" customWidth="1"/>
    <col min="16136" max="16136" width="27.109375" style="12" bestFit="1" customWidth="1"/>
    <col min="16137" max="16137" width="9" style="12" bestFit="1" customWidth="1"/>
    <col min="16138" max="16138" width="15.21875" style="12" bestFit="1" customWidth="1"/>
    <col min="16139" max="16139" width="11.77734375" style="12" bestFit="1" customWidth="1"/>
    <col min="16140" max="16384" width="8.88671875" style="12"/>
  </cols>
  <sheetData>
    <row r="1" spans="1:12" ht="20.100000000000001" customHeight="1">
      <c r="A1" s="33"/>
      <c r="B1" s="33"/>
      <c r="C1" s="33"/>
      <c r="D1" s="33"/>
      <c r="E1" s="33"/>
      <c r="F1" s="33"/>
      <c r="G1" s="756"/>
      <c r="H1" s="756"/>
      <c r="I1" s="756"/>
      <c r="J1" s="756"/>
      <c r="K1" s="756"/>
    </row>
    <row r="2" spans="1:12" s="5" customFormat="1" ht="30" customHeight="1">
      <c r="A2" s="4" t="s">
        <v>836</v>
      </c>
      <c r="B2" s="4"/>
      <c r="C2" s="419"/>
      <c r="D2" s="419"/>
      <c r="E2" s="419"/>
      <c r="F2" s="419"/>
      <c r="G2" s="758"/>
      <c r="H2" s="758"/>
      <c r="I2" s="758"/>
      <c r="J2" s="4"/>
      <c r="L2" s="759"/>
    </row>
    <row r="3" spans="1:12" ht="10.5" customHeight="1">
      <c r="A3" s="760"/>
      <c r="B3" s="760"/>
      <c r="C3" s="760"/>
      <c r="D3" s="760"/>
      <c r="E3" s="760"/>
      <c r="F3" s="760"/>
      <c r="G3" s="761"/>
      <c r="H3" s="761"/>
      <c r="I3" s="761"/>
      <c r="J3" s="67"/>
    </row>
    <row r="4" spans="1:12" ht="20.100000000000001" customHeight="1">
      <c r="A4" s="69"/>
      <c r="B4" s="69"/>
      <c r="C4" s="69"/>
      <c r="D4" s="69"/>
      <c r="G4" s="762"/>
      <c r="H4" s="762"/>
      <c r="I4" s="762"/>
      <c r="J4" s="8" t="s">
        <v>812</v>
      </c>
    </row>
    <row r="5" spans="1:12" ht="21.95" customHeight="1">
      <c r="A5" s="763"/>
      <c r="B5" s="764"/>
      <c r="C5" s="764"/>
      <c r="D5" s="764"/>
      <c r="E5" s="765" t="s">
        <v>85</v>
      </c>
      <c r="F5" s="766"/>
      <c r="G5" s="1325" t="s">
        <v>813</v>
      </c>
      <c r="H5" s="1327" t="s">
        <v>1084</v>
      </c>
      <c r="I5" s="1327" t="s">
        <v>814</v>
      </c>
      <c r="J5" s="1325" t="s">
        <v>86</v>
      </c>
    </row>
    <row r="6" spans="1:12" ht="21.95" customHeight="1">
      <c r="A6" s="767" t="s">
        <v>405</v>
      </c>
      <c r="B6" s="768"/>
      <c r="C6" s="769"/>
      <c r="D6" s="769"/>
      <c r="E6" s="770"/>
      <c r="F6" s="771"/>
      <c r="G6" s="1326"/>
      <c r="H6" s="1326"/>
      <c r="I6" s="1326"/>
      <c r="J6" s="1328"/>
    </row>
    <row r="7" spans="1:12" ht="18.95" customHeight="1">
      <c r="A7" s="1290" t="s">
        <v>815</v>
      </c>
      <c r="B7" s="1284" t="s">
        <v>87</v>
      </c>
      <c r="C7" s="1272" t="s">
        <v>816</v>
      </c>
      <c r="D7" s="1273"/>
      <c r="E7" s="1273"/>
      <c r="F7" s="1273"/>
      <c r="G7" s="773">
        <f>'용역원가(24년)'!H7</f>
        <v>683461908</v>
      </c>
      <c r="H7" s="774"/>
      <c r="I7" s="774"/>
      <c r="J7" s="495"/>
    </row>
    <row r="8" spans="1:12" ht="18.95" customHeight="1">
      <c r="A8" s="1331"/>
      <c r="B8" s="1333"/>
      <c r="C8" s="1335" t="s">
        <v>275</v>
      </c>
      <c r="D8" s="48"/>
      <c r="E8" s="621" t="s">
        <v>153</v>
      </c>
      <c r="F8" s="48"/>
      <c r="G8" s="775">
        <f>'용역원가(24년)'!H8</f>
        <v>52370400</v>
      </c>
      <c r="H8" s="776"/>
      <c r="I8" s="776"/>
      <c r="J8" s="777"/>
    </row>
    <row r="9" spans="1:12" ht="18.95" customHeight="1">
      <c r="A9" s="1331"/>
      <c r="B9" s="1333"/>
      <c r="C9" s="1288"/>
      <c r="D9" s="48"/>
      <c r="E9" s="621" t="s">
        <v>270</v>
      </c>
      <c r="F9" s="48"/>
      <c r="G9" s="773">
        <f>'용역원가(24년)'!H9</f>
        <v>0</v>
      </c>
      <c r="H9" s="776"/>
      <c r="I9" s="776"/>
      <c r="J9" s="495"/>
    </row>
    <row r="10" spans="1:12" ht="18.95" customHeight="1">
      <c r="A10" s="1331"/>
      <c r="B10" s="1333"/>
      <c r="C10" s="1288"/>
      <c r="D10" s="48"/>
      <c r="E10" s="621" t="s">
        <v>315</v>
      </c>
      <c r="F10" s="48"/>
      <c r="G10" s="773">
        <f>'용역원가(24년)'!H10</f>
        <v>106873200</v>
      </c>
      <c r="H10" s="776"/>
      <c r="I10" s="776"/>
      <c r="J10" s="495"/>
    </row>
    <row r="11" spans="1:12" ht="18.95" customHeight="1">
      <c r="A11" s="1331"/>
      <c r="B11" s="1333"/>
      <c r="C11" s="1289"/>
      <c r="D11" s="48"/>
      <c r="E11" s="621" t="s">
        <v>115</v>
      </c>
      <c r="F11" s="48"/>
      <c r="G11" s="773">
        <f>'용역원가(24년)'!H11</f>
        <v>159243600</v>
      </c>
      <c r="H11" s="776"/>
      <c r="I11" s="776"/>
      <c r="J11" s="495"/>
    </row>
    <row r="12" spans="1:12" ht="18.95" customHeight="1">
      <c r="A12" s="1331"/>
      <c r="B12" s="1333"/>
      <c r="C12" s="1268" t="s">
        <v>321</v>
      </c>
      <c r="D12" s="1266"/>
      <c r="E12" s="1266"/>
      <c r="F12" s="1266"/>
      <c r="G12" s="773">
        <f>'용역원가(24년)'!H12</f>
        <v>227820564</v>
      </c>
      <c r="H12" s="776"/>
      <c r="I12" s="776"/>
      <c r="J12" s="778" t="str">
        <f>"기본급의 "&amp;단위당인건비!I5*100&amp;"% 적용"</f>
        <v>기본급의 400% 적용</v>
      </c>
    </row>
    <row r="13" spans="1:12" ht="18.95" customHeight="1">
      <c r="A13" s="1331"/>
      <c r="B13" s="1333"/>
      <c r="C13" s="1268" t="s">
        <v>322</v>
      </c>
      <c r="D13" s="1266"/>
      <c r="E13" s="1266"/>
      <c r="F13" s="1266"/>
      <c r="G13" s="773">
        <f>'용역원가(24년)'!H13</f>
        <v>89210352</v>
      </c>
      <c r="H13" s="776"/>
      <c r="I13" s="776"/>
      <c r="J13" s="778" t="s">
        <v>305</v>
      </c>
    </row>
    <row r="14" spans="1:12" ht="18.95" customHeight="1">
      <c r="A14" s="1331"/>
      <c r="B14" s="1334"/>
      <c r="C14" s="1272" t="s">
        <v>132</v>
      </c>
      <c r="D14" s="1273"/>
      <c r="E14" s="1273"/>
      <c r="F14" s="1273"/>
      <c r="G14" s="773">
        <f>'용역원가(24년)'!H14</f>
        <v>1159736424</v>
      </c>
      <c r="H14" s="776"/>
      <c r="I14" s="776"/>
      <c r="J14" s="777"/>
    </row>
    <row r="15" spans="1:12" ht="18.95" customHeight="1">
      <c r="A15" s="1331"/>
      <c r="B15" s="1290" t="s">
        <v>817</v>
      </c>
      <c r="C15" s="1284" t="s">
        <v>818</v>
      </c>
      <c r="D15" s="48"/>
      <c r="E15" s="621" t="s">
        <v>148</v>
      </c>
      <c r="F15" s="621"/>
      <c r="G15" s="773">
        <f>'용역원가(24년)'!H15</f>
        <v>9634584</v>
      </c>
      <c r="H15" s="776"/>
      <c r="I15" s="776"/>
      <c r="J15" s="779" t="str">
        <f>"(기본급+제수당+상여금)×"&amp;K15&amp;"%"</f>
        <v>(기본급+제수당+상여금)×0.9%</v>
      </c>
      <c r="K15" s="624">
        <f>'고정)인적보험료'!M8</f>
        <v>0.9</v>
      </c>
    </row>
    <row r="16" spans="1:12" ht="18.95" customHeight="1">
      <c r="A16" s="1331"/>
      <c r="B16" s="1288"/>
      <c r="C16" s="1291"/>
      <c r="D16" s="48"/>
      <c r="E16" s="621" t="s">
        <v>819</v>
      </c>
      <c r="F16" s="621"/>
      <c r="G16" s="773">
        <f>'용역원가(24년)'!H16</f>
        <v>48173472</v>
      </c>
      <c r="H16" s="776"/>
      <c r="I16" s="776"/>
      <c r="J16" s="779" t="str">
        <f>"(기본급+제수당+상여금)×"&amp;K16&amp;"%"</f>
        <v>(기본급+제수당+상여금)×4.5%</v>
      </c>
      <c r="K16" s="624">
        <f>'고정)인적보험료'!M9</f>
        <v>4.5</v>
      </c>
    </row>
    <row r="17" spans="1:11" ht="18.95" customHeight="1">
      <c r="A17" s="1331"/>
      <c r="B17" s="1288"/>
      <c r="C17" s="1291"/>
      <c r="D17" s="48"/>
      <c r="E17" s="621" t="s">
        <v>92</v>
      </c>
      <c r="F17" s="621"/>
      <c r="G17" s="773">
        <f>'용역원가(24년)'!H17</f>
        <v>12310836</v>
      </c>
      <c r="H17" s="776"/>
      <c r="I17" s="776"/>
      <c r="J17" s="779" t="str">
        <f>"(기본급+제수당+상여금)×"&amp;K17&amp;"%"</f>
        <v>(기본급+제수당+상여금)×1.15%</v>
      </c>
      <c r="K17" s="624">
        <f>'고정)인적보험료'!M10</f>
        <v>1.1499999999999999</v>
      </c>
    </row>
    <row r="18" spans="1:11" ht="18.95" customHeight="1">
      <c r="A18" s="1331"/>
      <c r="B18" s="1288"/>
      <c r="C18" s="1291"/>
      <c r="D18" s="48"/>
      <c r="E18" s="621" t="s">
        <v>93</v>
      </c>
      <c r="F18" s="621"/>
      <c r="G18" s="773">
        <f>'용역원가(24년)'!H18</f>
        <v>37950012</v>
      </c>
      <c r="H18" s="776"/>
      <c r="I18" s="776"/>
      <c r="J18" s="779" t="str">
        <f>"(기본급+제수당+상여금)×"&amp;K18&amp;"%"</f>
        <v>(기본급+제수당+상여금)×3.545%</v>
      </c>
      <c r="K18" s="624">
        <f>'고정)인적보험료'!M11</f>
        <v>3.5449999999999999</v>
      </c>
    </row>
    <row r="19" spans="1:11" ht="18.95" customHeight="1">
      <c r="A19" s="1331"/>
      <c r="B19" s="1288"/>
      <c r="C19" s="1291"/>
      <c r="D19" s="48"/>
      <c r="E19" s="621" t="s">
        <v>210</v>
      </c>
      <c r="F19" s="621"/>
      <c r="G19" s="773">
        <f>'용역원가(24년)'!H19</f>
        <v>4861308</v>
      </c>
      <c r="H19" s="776"/>
      <c r="I19" s="776"/>
      <c r="J19" s="779" t="str">
        <f>"건강보험료×"&amp;K19&amp;"%"</f>
        <v>건강보험료×12.81%</v>
      </c>
      <c r="K19" s="624">
        <f>'고정)인적보험료'!M12</f>
        <v>12.81</v>
      </c>
    </row>
    <row r="20" spans="1:11" ht="18.95" customHeight="1">
      <c r="A20" s="1331"/>
      <c r="B20" s="1288"/>
      <c r="C20" s="1291"/>
      <c r="D20" s="780"/>
      <c r="E20" s="781" t="s">
        <v>820</v>
      </c>
      <c r="F20" s="781"/>
      <c r="G20" s="773">
        <f>'용역원가(24년)'!H20</f>
        <v>642132</v>
      </c>
      <c r="H20" s="776"/>
      <c r="I20" s="776"/>
      <c r="J20" s="782" t="str">
        <f>"(기본급+제수당+상여금)×"&amp;K20&amp;"%"</f>
        <v>(기본급+제수당+상여금)×0.06%</v>
      </c>
      <c r="K20" s="624">
        <f>'고정)인적보험료'!M13</f>
        <v>0.06</v>
      </c>
    </row>
    <row r="21" spans="1:11" ht="18.95" customHeight="1">
      <c r="A21" s="1331"/>
      <c r="B21" s="1288"/>
      <c r="C21" s="1329"/>
      <c r="D21" s="780"/>
      <c r="E21" s="781" t="s">
        <v>634</v>
      </c>
      <c r="F21" s="781"/>
      <c r="G21" s="773">
        <f>'용역원가(24년)'!H21</f>
        <v>42648</v>
      </c>
      <c r="H21" s="776"/>
      <c r="I21" s="776"/>
      <c r="J21" s="782" t="str">
        <f>"(기본급+제수당+상여금)×"&amp;K21&amp;"%"</f>
        <v>(기본급+제수당+상여금)×0.004%</v>
      </c>
      <c r="K21" s="624">
        <f>'고정)인적보험료'!M14</f>
        <v>4.0000000000000001E-3</v>
      </c>
    </row>
    <row r="22" spans="1:11" ht="18.95" customHeight="1">
      <c r="A22" s="1331"/>
      <c r="B22" s="1288"/>
      <c r="C22" s="1330" t="s">
        <v>821</v>
      </c>
      <c r="D22" s="1330"/>
      <c r="E22" s="1330"/>
      <c r="F22" s="1330"/>
      <c r="G22" s="775">
        <f>SUM(G14:G21)</f>
        <v>1273351416</v>
      </c>
      <c r="H22" s="775">
        <v>580043006</v>
      </c>
      <c r="I22" s="775">
        <f t="shared" ref="I22:I54" si="0">G22-H22</f>
        <v>693308410</v>
      </c>
      <c r="J22" s="779" t="s">
        <v>822</v>
      </c>
      <c r="K22" s="624" t="s">
        <v>823</v>
      </c>
    </row>
    <row r="23" spans="1:11" ht="18.95" customHeight="1">
      <c r="A23" s="1331"/>
      <c r="B23" s="1288"/>
      <c r="C23" s="1269" t="s">
        <v>176</v>
      </c>
      <c r="D23" s="1270"/>
      <c r="E23" s="1270"/>
      <c r="F23" s="1270"/>
      <c r="G23" s="773">
        <f>'용역원가(24년)'!H22</f>
        <v>58430904</v>
      </c>
      <c r="H23" s="773">
        <v>15117900</v>
      </c>
      <c r="I23" s="773">
        <f t="shared" si="0"/>
        <v>43313004</v>
      </c>
      <c r="J23" s="777"/>
    </row>
    <row r="24" spans="1:11" ht="18.95" customHeight="1">
      <c r="A24" s="1331"/>
      <c r="B24" s="1288"/>
      <c r="C24" s="1269" t="s">
        <v>542</v>
      </c>
      <c r="D24" s="1270"/>
      <c r="E24" s="1270"/>
      <c r="F24" s="1270"/>
      <c r="G24" s="773">
        <f>'용역원가(24년)'!H23</f>
        <v>21571097</v>
      </c>
      <c r="H24" s="773">
        <v>1728665</v>
      </c>
      <c r="I24" s="773">
        <f t="shared" si="0"/>
        <v>19842432</v>
      </c>
      <c r="J24" s="777"/>
    </row>
    <row r="25" spans="1:11" ht="18.95" customHeight="1">
      <c r="A25" s="1331"/>
      <c r="B25" s="1288"/>
      <c r="C25" s="1269" t="s">
        <v>543</v>
      </c>
      <c r="D25" s="1270"/>
      <c r="E25" s="1270"/>
      <c r="F25" s="1270"/>
      <c r="G25" s="773">
        <f>'용역원가(24년)'!H24</f>
        <v>2008764</v>
      </c>
      <c r="H25" s="773">
        <v>1633976</v>
      </c>
      <c r="I25" s="773">
        <f t="shared" si="0"/>
        <v>374788</v>
      </c>
      <c r="J25" s="777"/>
    </row>
    <row r="26" spans="1:11" ht="18.95" customHeight="1">
      <c r="A26" s="1331"/>
      <c r="B26" s="1288"/>
      <c r="C26" s="1269" t="s">
        <v>544</v>
      </c>
      <c r="D26" s="1270"/>
      <c r="E26" s="1270"/>
      <c r="F26" s="1270"/>
      <c r="G26" s="773">
        <f>'용역원가(24년)'!H25</f>
        <v>7529208</v>
      </c>
      <c r="H26" s="773">
        <v>4429555</v>
      </c>
      <c r="I26" s="773">
        <f t="shared" si="0"/>
        <v>3099653</v>
      </c>
      <c r="J26" s="777"/>
    </row>
    <row r="27" spans="1:11" ht="18.95" customHeight="1">
      <c r="A27" s="1331"/>
      <c r="B27" s="1288"/>
      <c r="C27" s="1269" t="s">
        <v>548</v>
      </c>
      <c r="D27" s="1270"/>
      <c r="E27" s="1270"/>
      <c r="F27" s="1270"/>
      <c r="G27" s="773">
        <f>'용역원가(24년)'!H26</f>
        <v>1147932</v>
      </c>
      <c r="H27" s="773">
        <v>739200</v>
      </c>
      <c r="I27" s="773">
        <f t="shared" si="0"/>
        <v>408732</v>
      </c>
      <c r="J27" s="777"/>
    </row>
    <row r="28" spans="1:11" ht="18.95" customHeight="1">
      <c r="A28" s="1331"/>
      <c r="B28" s="1288"/>
      <c r="C28" s="1269" t="s">
        <v>545</v>
      </c>
      <c r="D28" s="1270"/>
      <c r="E28" s="1270"/>
      <c r="F28" s="1270"/>
      <c r="G28" s="773">
        <f>'용역원가(24년)'!H27</f>
        <v>2076792</v>
      </c>
      <c r="H28" s="773">
        <v>2194290</v>
      </c>
      <c r="I28" s="773">
        <f t="shared" si="0"/>
        <v>-117498</v>
      </c>
      <c r="J28" s="777"/>
    </row>
    <row r="29" spans="1:11" ht="18.95" customHeight="1">
      <c r="A29" s="1331"/>
      <c r="B29" s="1288"/>
      <c r="C29" s="1269" t="s">
        <v>744</v>
      </c>
      <c r="D29" s="1270"/>
      <c r="E29" s="1270"/>
      <c r="F29" s="1270"/>
      <c r="G29" s="773" t="e">
        <f>'용역원가(24년)'!#REF!</f>
        <v>#REF!</v>
      </c>
      <c r="H29" s="773"/>
      <c r="I29" s="773" t="e">
        <f>G29-H29</f>
        <v>#REF!</v>
      </c>
      <c r="J29" s="777" t="s">
        <v>829</v>
      </c>
    </row>
    <row r="30" spans="1:11" ht="18.95" customHeight="1">
      <c r="A30" s="1331"/>
      <c r="B30" s="1288"/>
      <c r="C30" s="1269" t="s">
        <v>824</v>
      </c>
      <c r="D30" s="1270"/>
      <c r="E30" s="1270"/>
      <c r="F30" s="1270"/>
      <c r="G30" s="773">
        <f>'용역원가(24년)'!H28-SUM(G15:G21)</f>
        <v>92764697</v>
      </c>
      <c r="H30" s="773">
        <f>SUM(H23:H29)</f>
        <v>25843586</v>
      </c>
      <c r="I30" s="773">
        <f t="shared" si="0"/>
        <v>66921111</v>
      </c>
      <c r="J30" s="777"/>
    </row>
    <row r="31" spans="1:11" ht="18.95" customHeight="1">
      <c r="A31" s="1331"/>
      <c r="B31" s="1289"/>
      <c r="C31" s="1272" t="s">
        <v>132</v>
      </c>
      <c r="D31" s="1273"/>
      <c r="E31" s="1273"/>
      <c r="F31" s="1273"/>
      <c r="G31" s="773">
        <f>'용역원가(24년)'!H28</f>
        <v>206379689</v>
      </c>
      <c r="H31" s="773">
        <f>H30</f>
        <v>25843586</v>
      </c>
      <c r="I31" s="773">
        <f t="shared" si="0"/>
        <v>180536103</v>
      </c>
      <c r="J31" s="777" t="s">
        <v>825</v>
      </c>
    </row>
    <row r="32" spans="1:11" ht="18.95" customHeight="1">
      <c r="A32" s="1331"/>
      <c r="B32" s="1268" t="s">
        <v>347</v>
      </c>
      <c r="C32" s="1266"/>
      <c r="D32" s="1266"/>
      <c r="E32" s="1266"/>
      <c r="F32" s="1267"/>
      <c r="G32" s="773">
        <f>'용역원가(24년)'!H29</f>
        <v>1366116113</v>
      </c>
      <c r="H32" s="773">
        <f>SUM(H22,H30)</f>
        <v>605886592</v>
      </c>
      <c r="I32" s="773">
        <f t="shared" si="0"/>
        <v>760229521</v>
      </c>
      <c r="J32" s="777" t="s">
        <v>406</v>
      </c>
    </row>
    <row r="33" spans="1:11" ht="18.95" customHeight="1">
      <c r="A33" s="1331"/>
      <c r="B33" s="1268" t="str">
        <f>"일반관리비("&amp;K33&amp;"%)"</f>
        <v>일반관리비(9%)</v>
      </c>
      <c r="C33" s="1266"/>
      <c r="D33" s="1266"/>
      <c r="E33" s="1266"/>
      <c r="F33" s="1267"/>
      <c r="G33" s="773">
        <f>'용역원가(24년)'!H30</f>
        <v>122950440</v>
      </c>
      <c r="H33" s="773">
        <v>19989714</v>
      </c>
      <c r="I33" s="773">
        <f t="shared" si="0"/>
        <v>102960726</v>
      </c>
      <c r="J33" s="779" t="str">
        <f>"순용역원가×"&amp;K33&amp;"%(5%-&gt;10%)"</f>
        <v>순용역원가×9%(5%-&gt;10%)</v>
      </c>
      <c r="K33" s="12">
        <f>'용역원가(24년)'!K30</f>
        <v>9</v>
      </c>
    </row>
    <row r="34" spans="1:11" ht="18.95" customHeight="1">
      <c r="A34" s="1331"/>
      <c r="B34" s="1268" t="str">
        <f>"이윤("&amp;K34&amp;"%)"</f>
        <v>이윤(10%)</v>
      </c>
      <c r="C34" s="1266"/>
      <c r="D34" s="1266"/>
      <c r="E34" s="1266"/>
      <c r="F34" s="1267"/>
      <c r="G34" s="773">
        <f>'용역원가(24년)'!H31</f>
        <v>148906644</v>
      </c>
      <c r="H34" s="773">
        <v>38438727</v>
      </c>
      <c r="I34" s="773">
        <f t="shared" si="0"/>
        <v>110467917</v>
      </c>
      <c r="J34" s="779" t="str">
        <f>"(순용역원가+일반관리비)×"&amp;K34&amp;"%"</f>
        <v>(순용역원가+일반관리비)×10%</v>
      </c>
      <c r="K34" s="12">
        <f>'용역원가(24년)'!K31</f>
        <v>10</v>
      </c>
    </row>
    <row r="35" spans="1:11" ht="18.95" customHeight="1">
      <c r="A35" s="1331"/>
      <c r="B35" s="1268" t="s">
        <v>348</v>
      </c>
      <c r="C35" s="1266"/>
      <c r="D35" s="1266"/>
      <c r="E35" s="1266"/>
      <c r="F35" s="1267"/>
      <c r="G35" s="773">
        <f>'용역원가(24년)'!H32</f>
        <v>1637973197</v>
      </c>
      <c r="H35" s="773">
        <f>SUM(H32:H34)</f>
        <v>664315033</v>
      </c>
      <c r="I35" s="773">
        <f t="shared" si="0"/>
        <v>973658164</v>
      </c>
      <c r="J35" s="777" t="s">
        <v>272</v>
      </c>
    </row>
    <row r="36" spans="1:11" ht="18.95" customHeight="1">
      <c r="A36" s="1331"/>
      <c r="B36" s="1268" t="s">
        <v>349</v>
      </c>
      <c r="C36" s="1266"/>
      <c r="D36" s="1266"/>
      <c r="E36" s="1266"/>
      <c r="F36" s="1267"/>
      <c r="G36" s="773">
        <f>'용역원가(24년)'!H33</f>
        <v>163797312</v>
      </c>
      <c r="H36" s="773">
        <v>66431503</v>
      </c>
      <c r="I36" s="773">
        <f t="shared" si="0"/>
        <v>97365809</v>
      </c>
      <c r="J36" s="777" t="s">
        <v>826</v>
      </c>
    </row>
    <row r="37" spans="1:11" ht="18.95" customHeight="1">
      <c r="A37" s="1332"/>
      <c r="B37" s="1268" t="s">
        <v>827</v>
      </c>
      <c r="C37" s="1266"/>
      <c r="D37" s="1266"/>
      <c r="E37" s="1266"/>
      <c r="F37" s="1267"/>
      <c r="G37" s="773">
        <f>'용역원가(24년)'!H34</f>
        <v>1801770509</v>
      </c>
      <c r="H37" s="773">
        <f>SUM(H35:H36)</f>
        <v>730746536</v>
      </c>
      <c r="I37" s="773">
        <f t="shared" si="0"/>
        <v>1071023973</v>
      </c>
      <c r="J37" s="777" t="s">
        <v>273</v>
      </c>
    </row>
    <row r="38" spans="1:11" ht="18.95" customHeight="1">
      <c r="A38" s="1290" t="s">
        <v>828</v>
      </c>
      <c r="B38" s="1281" t="s">
        <v>547</v>
      </c>
      <c r="C38" s="1269" t="s">
        <v>535</v>
      </c>
      <c r="D38" s="1270"/>
      <c r="E38" s="1270"/>
      <c r="F38" s="1270"/>
      <c r="G38" s="773">
        <f>'용역원가(24년)'!H35</f>
        <v>27000000</v>
      </c>
      <c r="H38" s="773">
        <v>21000000</v>
      </c>
      <c r="I38" s="773">
        <f t="shared" si="0"/>
        <v>6000000</v>
      </c>
      <c r="J38" s="777"/>
    </row>
    <row r="39" spans="1:11" ht="18.95" customHeight="1">
      <c r="A39" s="1331"/>
      <c r="B39" s="1282"/>
      <c r="C39" s="1269" t="s">
        <v>577</v>
      </c>
      <c r="D39" s="1270"/>
      <c r="E39" s="1270"/>
      <c r="F39" s="1270"/>
      <c r="G39" s="773">
        <f>'용역원가(24년)'!H36</f>
        <v>635840000</v>
      </c>
      <c r="H39" s="773">
        <v>198629639</v>
      </c>
      <c r="I39" s="773">
        <f t="shared" si="0"/>
        <v>437210361</v>
      </c>
      <c r="J39" s="777"/>
    </row>
    <row r="40" spans="1:11" ht="18.95" customHeight="1">
      <c r="A40" s="1331"/>
      <c r="B40" s="1282"/>
      <c r="C40" s="1269" t="s">
        <v>536</v>
      </c>
      <c r="D40" s="1270"/>
      <c r="E40" s="1270"/>
      <c r="F40" s="1270"/>
      <c r="G40" s="773">
        <f>'용역원가(24년)'!H37</f>
        <v>1803166</v>
      </c>
      <c r="H40" s="773">
        <v>5894727</v>
      </c>
      <c r="I40" s="773">
        <f t="shared" si="0"/>
        <v>-4091561</v>
      </c>
      <c r="J40" s="777"/>
    </row>
    <row r="41" spans="1:11" ht="18.95" customHeight="1">
      <c r="A41" s="1331"/>
      <c r="B41" s="1282"/>
      <c r="C41" s="1269" t="s">
        <v>656</v>
      </c>
      <c r="D41" s="1270"/>
      <c r="E41" s="1270"/>
      <c r="F41" s="1270"/>
      <c r="G41" s="773">
        <f>'용역원가(24년)'!H38</f>
        <v>29280000</v>
      </c>
      <c r="H41" s="773">
        <v>27480000</v>
      </c>
      <c r="I41" s="773">
        <f t="shared" si="0"/>
        <v>1800000</v>
      </c>
      <c r="J41" s="777"/>
    </row>
    <row r="42" spans="1:11" ht="18.95" customHeight="1">
      <c r="A42" s="1331"/>
      <c r="B42" s="1282"/>
      <c r="C42" s="1269" t="s">
        <v>537</v>
      </c>
      <c r="D42" s="1270"/>
      <c r="E42" s="1270"/>
      <c r="F42" s="1270"/>
      <c r="G42" s="773">
        <f>'용역원가(24년)'!H39</f>
        <v>59268000</v>
      </c>
      <c r="H42" s="773">
        <v>46523360</v>
      </c>
      <c r="I42" s="773">
        <f t="shared" si="0"/>
        <v>12744640</v>
      </c>
      <c r="J42" s="777"/>
    </row>
    <row r="43" spans="1:11" ht="18.95" customHeight="1">
      <c r="A43" s="1331"/>
      <c r="B43" s="1282"/>
      <c r="C43" s="1269" t="s">
        <v>538</v>
      </c>
      <c r="D43" s="1270"/>
      <c r="E43" s="1270"/>
      <c r="F43" s="1270"/>
      <c r="G43" s="773">
        <f>'용역원가(24년)'!H40</f>
        <v>6240000</v>
      </c>
      <c r="H43" s="773">
        <v>6240000</v>
      </c>
      <c r="I43" s="773">
        <f t="shared" si="0"/>
        <v>0</v>
      </c>
      <c r="J43" s="777"/>
    </row>
    <row r="44" spans="1:11" ht="18.95" customHeight="1">
      <c r="A44" s="1331"/>
      <c r="B44" s="1282"/>
      <c r="C44" s="1269" t="s">
        <v>744</v>
      </c>
      <c r="D44" s="1270"/>
      <c r="E44" s="1270"/>
      <c r="F44" s="1270"/>
      <c r="G44" s="773">
        <f>'용역원가(24년)'!H41</f>
        <v>69704532.101599991</v>
      </c>
      <c r="H44" s="773"/>
      <c r="I44" s="773">
        <f>G44-H44</f>
        <v>69704532.101599991</v>
      </c>
      <c r="J44" s="777" t="s">
        <v>829</v>
      </c>
    </row>
    <row r="45" spans="1:11" ht="18.95" customHeight="1">
      <c r="A45" s="1331"/>
      <c r="B45" s="1282"/>
      <c r="C45" s="1272" t="s">
        <v>132</v>
      </c>
      <c r="D45" s="1273"/>
      <c r="E45" s="1273"/>
      <c r="F45" s="1274"/>
      <c r="G45" s="773">
        <f>'용역원가(24년)'!H42</f>
        <v>829135680</v>
      </c>
      <c r="H45" s="773">
        <f>SUM(H38:H43)</f>
        <v>305767726</v>
      </c>
      <c r="I45" s="773">
        <f t="shared" si="0"/>
        <v>523367954</v>
      </c>
      <c r="J45" s="777"/>
    </row>
    <row r="46" spans="1:11" ht="18.95" customHeight="1">
      <c r="A46" s="1331"/>
      <c r="B46" s="1282"/>
      <c r="C46" s="1268" t="s">
        <v>830</v>
      </c>
      <c r="D46" s="1266"/>
      <c r="E46" s="1266"/>
      <c r="F46" s="1267"/>
      <c r="G46" s="773">
        <f>'용역원가(24년)'!H43</f>
        <v>829135680</v>
      </c>
      <c r="H46" s="773">
        <f>H45</f>
        <v>305767726</v>
      </c>
      <c r="I46" s="773">
        <f t="shared" si="0"/>
        <v>523367954</v>
      </c>
      <c r="J46" s="777" t="s">
        <v>831</v>
      </c>
    </row>
    <row r="47" spans="1:11" ht="18.95" customHeight="1">
      <c r="A47" s="1331"/>
      <c r="B47" s="1282"/>
      <c r="C47" s="1268" t="s">
        <v>349</v>
      </c>
      <c r="D47" s="1266"/>
      <c r="E47" s="1266"/>
      <c r="F47" s="1267"/>
      <c r="G47" s="773">
        <f>'용역원가(24년)'!H44</f>
        <v>82913568</v>
      </c>
      <c r="H47" s="773">
        <v>30576773</v>
      </c>
      <c r="I47" s="773">
        <f t="shared" si="0"/>
        <v>52336795</v>
      </c>
      <c r="J47" s="777" t="s">
        <v>826</v>
      </c>
    </row>
    <row r="48" spans="1:11" ht="18.95" customHeight="1">
      <c r="A48" s="1331"/>
      <c r="B48" s="1283"/>
      <c r="C48" s="1268" t="s">
        <v>546</v>
      </c>
      <c r="D48" s="1266"/>
      <c r="E48" s="1266"/>
      <c r="F48" s="1267"/>
      <c r="G48" s="773">
        <f>'용역원가(24년)'!H45</f>
        <v>912049248</v>
      </c>
      <c r="H48" s="773">
        <f>SUM(H46:H47)</f>
        <v>336344499</v>
      </c>
      <c r="I48" s="773">
        <f t="shared" si="0"/>
        <v>575704749</v>
      </c>
      <c r="J48" s="777" t="s">
        <v>273</v>
      </c>
    </row>
    <row r="49" spans="1:12" ht="18.95" customHeight="1">
      <c r="A49" s="1331"/>
      <c r="B49" s="1336" t="s">
        <v>551</v>
      </c>
      <c r="C49" s="1269" t="s">
        <v>539</v>
      </c>
      <c r="D49" s="1270"/>
      <c r="E49" s="1270"/>
      <c r="F49" s="1270"/>
      <c r="G49" s="773">
        <f>'용역원가(24년)'!H46</f>
        <v>1618987235</v>
      </c>
      <c r="H49" s="773">
        <v>937219214</v>
      </c>
      <c r="I49" s="773">
        <f t="shared" si="0"/>
        <v>681768021</v>
      </c>
      <c r="J49" s="777"/>
    </row>
    <row r="50" spans="1:12" ht="18.95" customHeight="1">
      <c r="A50" s="1331"/>
      <c r="B50" s="1337"/>
      <c r="C50" s="1269" t="s">
        <v>540</v>
      </c>
      <c r="D50" s="1270"/>
      <c r="E50" s="1270"/>
      <c r="F50" s="1270"/>
      <c r="G50" s="773">
        <f>'용역원가(24년)'!H47</f>
        <v>43700610</v>
      </c>
      <c r="H50" s="773">
        <v>28697451</v>
      </c>
      <c r="I50" s="773">
        <f t="shared" si="0"/>
        <v>15003159</v>
      </c>
      <c r="J50" s="777"/>
    </row>
    <row r="51" spans="1:12" ht="18.95" customHeight="1">
      <c r="A51" s="1331"/>
      <c r="B51" s="1337"/>
      <c r="C51" s="1269" t="s">
        <v>541</v>
      </c>
      <c r="D51" s="1270"/>
      <c r="E51" s="1270"/>
      <c r="F51" s="1270"/>
      <c r="G51" s="773">
        <f>'용역원가(24년)'!H48</f>
        <v>69987500</v>
      </c>
      <c r="H51" s="773">
        <v>66992300</v>
      </c>
      <c r="I51" s="773">
        <f t="shared" si="0"/>
        <v>2995200</v>
      </c>
      <c r="J51" s="777"/>
    </row>
    <row r="52" spans="1:12" ht="18.95" customHeight="1">
      <c r="A52" s="1331"/>
      <c r="B52" s="1338"/>
      <c r="C52" s="1269" t="s">
        <v>546</v>
      </c>
      <c r="D52" s="1270"/>
      <c r="E52" s="1270"/>
      <c r="F52" s="1270"/>
      <c r="G52" s="773">
        <f>'용역원가(24년)'!H49</f>
        <v>1732675332</v>
      </c>
      <c r="H52" s="773">
        <f>SUM(H49:H51)</f>
        <v>1032908965</v>
      </c>
      <c r="I52" s="773">
        <f t="shared" si="0"/>
        <v>699766367</v>
      </c>
      <c r="J52" s="777"/>
    </row>
    <row r="53" spans="1:12" ht="18.95" customHeight="1">
      <c r="A53" s="1332"/>
      <c r="B53" s="1266" t="s">
        <v>832</v>
      </c>
      <c r="C53" s="1266"/>
      <c r="D53" s="1266"/>
      <c r="E53" s="1266"/>
      <c r="F53" s="1267"/>
      <c r="G53" s="773">
        <f>'용역원가(24년)'!H50</f>
        <v>2644724580</v>
      </c>
      <c r="H53" s="773">
        <f>SUM(H48,H52)</f>
        <v>1369253464</v>
      </c>
      <c r="I53" s="773">
        <f t="shared" si="0"/>
        <v>1275471116</v>
      </c>
      <c r="J53" s="777" t="s">
        <v>552</v>
      </c>
    </row>
    <row r="54" spans="1:12" ht="18.95" customHeight="1">
      <c r="A54" s="1268" t="s">
        <v>833</v>
      </c>
      <c r="B54" s="1266"/>
      <c r="C54" s="1266"/>
      <c r="D54" s="1266"/>
      <c r="E54" s="1266"/>
      <c r="F54" s="1267"/>
      <c r="G54" s="773">
        <f>'용역원가(24년)'!H51</f>
        <v>4446495000</v>
      </c>
      <c r="H54" s="773">
        <f>SUM(H37,H53)</f>
        <v>2100000000</v>
      </c>
      <c r="I54" s="773">
        <f t="shared" si="0"/>
        <v>2346495000</v>
      </c>
      <c r="J54" s="777" t="s">
        <v>834</v>
      </c>
    </row>
    <row r="55" spans="1:12" s="783" customFormat="1" ht="13.5">
      <c r="A55" s="787" t="s">
        <v>835</v>
      </c>
      <c r="B55" s="787"/>
      <c r="C55" s="787"/>
      <c r="D55" s="787"/>
      <c r="E55" s="787"/>
      <c r="F55" s="787"/>
      <c r="G55" s="787"/>
      <c r="H55" s="787"/>
      <c r="I55" s="785"/>
      <c r="J55" s="786"/>
      <c r="L55" s="784"/>
    </row>
    <row r="56" spans="1:12" s="783" customFormat="1" ht="13.5">
      <c r="A56" s="69" t="s">
        <v>837</v>
      </c>
      <c r="B56" s="69"/>
      <c r="C56" s="69"/>
      <c r="D56" s="69"/>
      <c r="E56" s="69"/>
      <c r="F56" s="69"/>
      <c r="G56" s="69"/>
      <c r="H56" s="69"/>
      <c r="I56" s="785"/>
      <c r="J56" s="786"/>
      <c r="L56" s="784"/>
    </row>
  </sheetData>
  <mergeCells count="49">
    <mergeCell ref="A54:F54"/>
    <mergeCell ref="B49:B52"/>
    <mergeCell ref="C49:F49"/>
    <mergeCell ref="C50:F50"/>
    <mergeCell ref="C51:F51"/>
    <mergeCell ref="C52:F52"/>
    <mergeCell ref="B53:F53"/>
    <mergeCell ref="C43:F43"/>
    <mergeCell ref="C44:F44"/>
    <mergeCell ref="C45:F45"/>
    <mergeCell ref="C46:F46"/>
    <mergeCell ref="C47:F47"/>
    <mergeCell ref="C48:F48"/>
    <mergeCell ref="B35:F35"/>
    <mergeCell ref="B36:F36"/>
    <mergeCell ref="B37:F37"/>
    <mergeCell ref="A38:A53"/>
    <mergeCell ref="B38:B48"/>
    <mergeCell ref="C38:F38"/>
    <mergeCell ref="C39:F39"/>
    <mergeCell ref="C40:F40"/>
    <mergeCell ref="C41:F41"/>
    <mergeCell ref="C42:F42"/>
    <mergeCell ref="A7:A37"/>
    <mergeCell ref="B7:B14"/>
    <mergeCell ref="C7:F7"/>
    <mergeCell ref="C8:C11"/>
    <mergeCell ref="C12:F12"/>
    <mergeCell ref="C14:F14"/>
    <mergeCell ref="B15:B31"/>
    <mergeCell ref="C15:C21"/>
    <mergeCell ref="C22:F22"/>
    <mergeCell ref="B34:F34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B32:F32"/>
    <mergeCell ref="B33:F33"/>
    <mergeCell ref="G5:G6"/>
    <mergeCell ref="H5:H6"/>
    <mergeCell ref="I5:I6"/>
    <mergeCell ref="J5:J6"/>
    <mergeCell ref="C13:F13"/>
  </mergeCells>
  <phoneticPr fontId="3" type="noConversion"/>
  <pageMargins left="0.78740157480314965" right="0.78740157480314965" top="0.78740157480314965" bottom="0.78740157480314965" header="0.51181102362204722" footer="0.51181102362204722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V58"/>
  <sheetViews>
    <sheetView view="pageBreakPreview" zoomScaleNormal="85" zoomScaleSheetLayoutView="100" workbookViewId="0">
      <selection activeCell="AE35" sqref="AE35"/>
    </sheetView>
  </sheetViews>
  <sheetFormatPr defaultRowHeight="30" customHeight="1"/>
  <cols>
    <col min="1" max="1" width="4.21875" style="3" customWidth="1"/>
    <col min="2" max="2" width="0.6640625" style="3" customWidth="1"/>
    <col min="3" max="3" width="1" style="3" customWidth="1"/>
    <col min="4" max="22" width="4.21875" style="3" customWidth="1"/>
    <col min="23" max="23" width="1" style="3" customWidth="1"/>
    <col min="24" max="24" width="0.5546875" style="3" customWidth="1"/>
    <col min="25" max="25" width="4.21875" style="3" customWidth="1"/>
    <col min="26" max="30" width="5.77734375" style="3" hidden="1" customWidth="1"/>
    <col min="31" max="16384" width="8.88671875" style="3"/>
  </cols>
  <sheetData>
    <row r="1" spans="1:256" s="628" customFormat="1" ht="11.25" customHeight="1">
      <c r="D1" s="629"/>
      <c r="E1" s="629"/>
      <c r="F1" s="629"/>
      <c r="G1" s="629"/>
      <c r="H1" s="629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s="628" customFormat="1" ht="8.25" customHeight="1">
      <c r="D2" s="629"/>
      <c r="E2" s="629"/>
      <c r="F2" s="629"/>
      <c r="G2" s="629"/>
      <c r="H2" s="62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pans="1:256" s="628" customFormat="1" ht="26.25" customHeight="1">
      <c r="B3" s="630"/>
      <c r="C3" s="631"/>
      <c r="D3" s="632" t="s">
        <v>574</v>
      </c>
      <c r="E3" s="632"/>
      <c r="F3" s="632"/>
      <c r="G3" s="632"/>
      <c r="H3" s="632"/>
      <c r="I3" s="632"/>
      <c r="J3" s="632"/>
      <c r="K3" s="632"/>
      <c r="L3" s="632"/>
      <c r="M3" s="632"/>
      <c r="N3" s="632"/>
      <c r="O3" s="632"/>
      <c r="P3" s="632"/>
      <c r="Q3" s="632"/>
      <c r="R3" s="632"/>
      <c r="S3" s="632"/>
      <c r="T3" s="632"/>
      <c r="U3" s="632"/>
      <c r="V3" s="632"/>
      <c r="W3" s="3"/>
      <c r="X3" s="63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</row>
    <row r="4" spans="1:256" s="628" customFormat="1" ht="6" customHeight="1">
      <c r="B4" s="634"/>
      <c r="C4" s="635"/>
      <c r="D4" s="636"/>
      <c r="E4" s="636"/>
      <c r="F4" s="636"/>
      <c r="G4" s="636"/>
      <c r="H4" s="636"/>
      <c r="I4" s="636"/>
      <c r="J4" s="636"/>
      <c r="K4" s="636"/>
      <c r="L4" s="636"/>
      <c r="M4" s="636"/>
      <c r="N4" s="636"/>
      <c r="O4" s="636"/>
      <c r="P4" s="636"/>
      <c r="Q4" s="636"/>
      <c r="R4" s="636"/>
      <c r="S4" s="636"/>
      <c r="T4" s="636"/>
      <c r="U4" s="636"/>
      <c r="V4" s="636"/>
      <c r="W4" s="637"/>
      <c r="X4" s="638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spans="1:256" s="628" customFormat="1" ht="9.9499999999999993" customHeight="1">
      <c r="A5" s="630"/>
      <c r="B5" s="630"/>
      <c r="C5" s="634"/>
      <c r="D5" s="639"/>
      <c r="E5" s="639"/>
      <c r="F5" s="639"/>
      <c r="G5" s="639"/>
      <c r="H5" s="639"/>
      <c r="I5" s="639"/>
      <c r="J5" s="639"/>
      <c r="K5" s="639"/>
      <c r="L5" s="639"/>
      <c r="M5" s="639"/>
      <c r="N5" s="639"/>
      <c r="O5" s="639"/>
      <c r="P5" s="639"/>
      <c r="Q5" s="640"/>
      <c r="R5" s="640"/>
      <c r="S5" s="640"/>
      <c r="T5" s="640"/>
      <c r="U5" s="640"/>
      <c r="V5" s="640"/>
      <c r="W5" s="638"/>
      <c r="X5" s="633"/>
      <c r="Y5" s="637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s="641" customFormat="1" ht="11.25" customHeight="1">
      <c r="B6" s="642"/>
      <c r="C6" s="643"/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P6" s="644"/>
      <c r="Q6" s="645"/>
      <c r="R6" s="645"/>
      <c r="S6" s="645"/>
      <c r="T6" s="645"/>
      <c r="U6" s="645"/>
      <c r="V6" s="645"/>
      <c r="W6" s="637"/>
      <c r="X6" s="63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s="628" customFormat="1" ht="15.95" customHeight="1">
      <c r="B7" s="646"/>
      <c r="C7" s="635"/>
      <c r="D7" s="647"/>
      <c r="E7" s="647"/>
      <c r="F7" s="648" t="s">
        <v>282</v>
      </c>
      <c r="H7" s="649" t="str">
        <f>용역원가집계!$A$2</f>
        <v>용역원가집계표</v>
      </c>
      <c r="J7" s="650"/>
      <c r="K7" s="650"/>
      <c r="L7" s="650"/>
      <c r="M7" s="650"/>
      <c r="N7" s="650"/>
      <c r="O7" s="650"/>
      <c r="P7" s="650"/>
      <c r="Q7" s="651"/>
      <c r="R7" s="651"/>
      <c r="S7" s="651"/>
      <c r="T7" s="651"/>
      <c r="U7" s="651"/>
      <c r="V7" s="645"/>
      <c r="W7" s="637"/>
      <c r="X7" s="633"/>
      <c r="Y7" s="3"/>
      <c r="Z7" s="652" t="str">
        <f>용역원가집계!$A$1</f>
        <v xml:space="preserve">[ 표 : 1 ] </v>
      </c>
      <c r="AA7" s="38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s="628" customFormat="1" ht="15.95" customHeight="1">
      <c r="B8" s="646"/>
      <c r="C8" s="635"/>
      <c r="D8" s="650"/>
      <c r="E8" s="650"/>
      <c r="F8" s="648" t="s">
        <v>283</v>
      </c>
      <c r="H8" s="649" t="str">
        <f>'용역원가(24년)'!$A$2</f>
        <v>용역원가계산서(2024년)</v>
      </c>
      <c r="J8" s="650"/>
      <c r="K8" s="650"/>
      <c r="L8" s="650"/>
      <c r="M8" s="650"/>
      <c r="N8" s="650"/>
      <c r="O8" s="650"/>
      <c r="P8" s="650"/>
      <c r="Q8" s="651"/>
      <c r="R8" s="651"/>
      <c r="S8" s="651"/>
      <c r="T8" s="651"/>
      <c r="U8" s="651"/>
      <c r="V8" s="645"/>
      <c r="W8" s="637"/>
      <c r="X8" s="633"/>
      <c r="Y8" s="3"/>
      <c r="Z8" s="652" t="str">
        <f>'용역원가(24년)'!$A$1</f>
        <v xml:space="preserve">[ 표 : 2 ] </v>
      </c>
      <c r="AA8" s="38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s="628" customFormat="1" ht="15.95" customHeight="1">
      <c r="B9" s="646"/>
      <c r="C9" s="635"/>
      <c r="D9" s="650"/>
      <c r="E9" s="650"/>
      <c r="F9" s="648" t="s">
        <v>284</v>
      </c>
      <c r="H9" s="649" t="str">
        <f>'용역원가(25년) '!$A$2</f>
        <v>용역원가계산서(2025년)</v>
      </c>
      <c r="J9" s="650"/>
      <c r="K9" s="650"/>
      <c r="L9" s="650"/>
      <c r="M9" s="650"/>
      <c r="N9" s="650"/>
      <c r="O9" s="650"/>
      <c r="P9" s="650"/>
      <c r="Q9" s="651"/>
      <c r="R9" s="651"/>
      <c r="S9" s="651"/>
      <c r="T9" s="651"/>
      <c r="U9" s="651"/>
      <c r="V9" s="645"/>
      <c r="W9" s="637"/>
      <c r="X9" s="633"/>
      <c r="Y9" s="3"/>
      <c r="Z9" s="652"/>
      <c r="AA9" s="38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s="628" customFormat="1" ht="15.95" customHeight="1">
      <c r="B10" s="646"/>
      <c r="C10" s="635"/>
      <c r="D10" s="650"/>
      <c r="E10" s="650"/>
      <c r="F10" s="648" t="s">
        <v>285</v>
      </c>
      <c r="H10" s="649" t="str">
        <f>'용역원가(26년)'!$A$2</f>
        <v>용역원가계산서(2026년)</v>
      </c>
      <c r="J10" s="650"/>
      <c r="K10" s="650"/>
      <c r="L10" s="650"/>
      <c r="M10" s="650"/>
      <c r="N10" s="650"/>
      <c r="O10" s="650"/>
      <c r="P10" s="650"/>
      <c r="Q10" s="651"/>
      <c r="R10" s="651"/>
      <c r="S10" s="651"/>
      <c r="T10" s="651"/>
      <c r="U10" s="651"/>
      <c r="V10" s="645"/>
      <c r="W10" s="637"/>
      <c r="X10" s="633"/>
      <c r="Y10" s="3"/>
      <c r="Z10" s="652"/>
      <c r="AA10" s="38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s="628" customFormat="1" ht="15.95" customHeight="1">
      <c r="B11" s="646"/>
      <c r="C11" s="635"/>
      <c r="D11" s="650"/>
      <c r="E11" s="650"/>
      <c r="F11" s="648" t="s">
        <v>286</v>
      </c>
      <c r="H11" s="628" t="str">
        <f>인건비집계!$A$2</f>
        <v>인건비집계표</v>
      </c>
      <c r="J11" s="650"/>
      <c r="K11" s="650"/>
      <c r="L11" s="650"/>
      <c r="M11" s="650"/>
      <c r="N11" s="650"/>
      <c r="O11" s="650"/>
      <c r="P11" s="650"/>
      <c r="Q11" s="651"/>
      <c r="R11" s="651"/>
      <c r="S11" s="651"/>
      <c r="T11" s="651"/>
      <c r="U11" s="651"/>
      <c r="V11" s="645"/>
      <c r="W11" s="637"/>
      <c r="X11" s="633"/>
      <c r="Y11" s="3"/>
      <c r="Z11" s="653" t="str">
        <f>인건비집계!$A$1</f>
        <v xml:space="preserve">[ 표 : 5 ] </v>
      </c>
      <c r="AA11" s="38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s="628" customFormat="1" ht="15.95" customHeight="1">
      <c r="B12" s="646"/>
      <c r="C12" s="635"/>
      <c r="D12" s="650"/>
      <c r="E12" s="650"/>
      <c r="F12" s="648" t="s">
        <v>287</v>
      </c>
      <c r="H12" s="628" t="str">
        <f>제수당집계!$A$2</f>
        <v>제수당집계표</v>
      </c>
      <c r="J12" s="650"/>
      <c r="K12" s="650"/>
      <c r="L12" s="650"/>
      <c r="M12" s="650"/>
      <c r="N12" s="650"/>
      <c r="O12" s="650"/>
      <c r="P12" s="650"/>
      <c r="Q12" s="651"/>
      <c r="R12" s="651"/>
      <c r="S12" s="651"/>
      <c r="T12" s="651"/>
      <c r="U12" s="651"/>
      <c r="V12" s="645"/>
      <c r="W12" s="637"/>
      <c r="X12" s="633"/>
      <c r="Y12" s="3"/>
      <c r="Z12" s="653" t="str">
        <f>제수당집계!$A$1</f>
        <v xml:space="preserve">[ 표 : 6 ] </v>
      </c>
      <c r="AA12" s="38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s="628" customFormat="1" ht="15.95" customHeight="1">
      <c r="B13" s="646"/>
      <c r="C13" s="635"/>
      <c r="D13" s="650"/>
      <c r="E13" s="650"/>
      <c r="F13" s="648" t="s">
        <v>288</v>
      </c>
      <c r="H13" s="628" t="str">
        <f>단위당인건비!$A$2</f>
        <v>직책별 단위(1인)당 인건비산출표</v>
      </c>
      <c r="J13" s="650"/>
      <c r="K13" s="650"/>
      <c r="L13" s="650"/>
      <c r="M13" s="650"/>
      <c r="N13" s="650"/>
      <c r="O13" s="650"/>
      <c r="P13" s="650"/>
      <c r="Q13" s="651"/>
      <c r="R13" s="651"/>
      <c r="S13" s="651"/>
      <c r="T13" s="651"/>
      <c r="U13" s="651"/>
      <c r="V13" s="645"/>
      <c r="W13" s="637"/>
      <c r="X13" s="633"/>
      <c r="Y13" s="3"/>
      <c r="Z13" s="653" t="str">
        <f>단위당인건비!$A$1</f>
        <v xml:space="preserve">[ 표 : 7 ] </v>
      </c>
      <c r="AA13" s="38"/>
      <c r="AB13" s="3"/>
      <c r="AC13" s="654"/>
      <c r="AD13" s="655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s="628" customFormat="1" ht="15.95" customHeight="1">
      <c r="B14" s="646"/>
      <c r="C14" s="635"/>
      <c r="D14" s="650"/>
      <c r="E14" s="650"/>
      <c r="F14" s="648" t="s">
        <v>289</v>
      </c>
      <c r="H14" s="628" t="str">
        <f>월기본급!$A$2</f>
        <v>월(M/M)당기본급산출표</v>
      </c>
      <c r="J14" s="650"/>
      <c r="K14" s="650"/>
      <c r="L14" s="650"/>
      <c r="M14" s="650"/>
      <c r="N14" s="650"/>
      <c r="O14" s="650"/>
      <c r="P14" s="650"/>
      <c r="Q14" s="651"/>
      <c r="R14" s="651"/>
      <c r="S14" s="651"/>
      <c r="T14" s="651"/>
      <c r="U14" s="651"/>
      <c r="V14" s="645"/>
      <c r="W14" s="637"/>
      <c r="X14" s="633"/>
      <c r="Y14" s="3"/>
      <c r="Z14" s="653" t="str">
        <f>월기본급!$A$1</f>
        <v xml:space="preserve">[ 표 : 8 ] </v>
      </c>
      <c r="AA14" s="38"/>
      <c r="AB14" s="3"/>
      <c r="AC14" s="654"/>
      <c r="AD14" s="655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s="628" customFormat="1" ht="15.95" customHeight="1">
      <c r="B15" s="646"/>
      <c r="C15" s="635"/>
      <c r="D15" s="650"/>
      <c r="E15" s="650"/>
      <c r="F15" s="648" t="s">
        <v>290</v>
      </c>
      <c r="H15" s="628" t="str">
        <f>기본급추정!$A$2</f>
        <v>엔지니어링기술자노임단가 기본급추정 산출표</v>
      </c>
      <c r="J15" s="650"/>
      <c r="K15" s="650"/>
      <c r="L15" s="650"/>
      <c r="M15" s="650"/>
      <c r="N15" s="650"/>
      <c r="O15" s="650"/>
      <c r="P15" s="650"/>
      <c r="Q15" s="651"/>
      <c r="R15" s="651"/>
      <c r="S15" s="651"/>
      <c r="T15" s="651"/>
      <c r="U15" s="651"/>
      <c r="V15" s="645"/>
      <c r="W15" s="637"/>
      <c r="X15" s="633"/>
      <c r="Y15" s="3"/>
      <c r="Z15" s="653" t="str">
        <f>기본급추정!$A$1</f>
        <v xml:space="preserve">[ 표 : 9 ] </v>
      </c>
      <c r="AA15" s="38"/>
      <c r="AB15" s="3"/>
      <c r="AC15" s="654"/>
      <c r="AD15" s="655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s="628" customFormat="1" ht="15.95" customHeight="1">
      <c r="B16" s="646"/>
      <c r="C16" s="635"/>
      <c r="D16" s="650"/>
      <c r="E16" s="650"/>
      <c r="F16" s="648" t="s">
        <v>291</v>
      </c>
      <c r="H16" s="628" t="str">
        <f>인건비산정기준!$A$2</f>
        <v>인건비산정기준 및 관련법규</v>
      </c>
      <c r="J16" s="650"/>
      <c r="K16" s="650"/>
      <c r="L16" s="650"/>
      <c r="M16" s="650"/>
      <c r="N16" s="650"/>
      <c r="O16" s="650"/>
      <c r="P16" s="650"/>
      <c r="Q16" s="651"/>
      <c r="R16" s="651"/>
      <c r="S16" s="651"/>
      <c r="T16" s="651"/>
      <c r="U16" s="651"/>
      <c r="V16" s="645"/>
      <c r="W16" s="637"/>
      <c r="X16" s="633"/>
      <c r="Y16" s="3"/>
      <c r="Z16" s="653" t="str">
        <f>엔지니어노임!$A$1</f>
        <v xml:space="preserve">[ 표 : 10 ] </v>
      </c>
      <c r="AA16" s="38"/>
      <c r="AB16" s="3"/>
      <c r="AC16" s="654"/>
      <c r="AD16" s="655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2:256" s="628" customFormat="1" ht="15.95" customHeight="1">
      <c r="B17" s="646"/>
      <c r="C17" s="635"/>
      <c r="D17" s="650"/>
      <c r="E17" s="650"/>
      <c r="F17" s="648" t="s">
        <v>1360</v>
      </c>
      <c r="H17" s="628" t="str">
        <f>보험료산정기준!$A$2</f>
        <v>보험료산정기준표</v>
      </c>
      <c r="J17" s="650"/>
      <c r="K17" s="650"/>
      <c r="L17" s="650"/>
      <c r="M17" s="650"/>
      <c r="N17" s="650"/>
      <c r="O17" s="650"/>
      <c r="P17" s="650"/>
      <c r="Q17" s="651"/>
      <c r="R17" s="651"/>
      <c r="S17" s="651"/>
      <c r="T17" s="651"/>
      <c r="U17" s="651"/>
      <c r="V17" s="645"/>
      <c r="W17" s="637"/>
      <c r="X17" s="633"/>
      <c r="Y17" s="3"/>
      <c r="Z17" s="653" t="str">
        <f>엔지니어노임!$A$1</f>
        <v xml:space="preserve">[ 표 : 10 ] </v>
      </c>
      <c r="AA17" s="38"/>
      <c r="AB17" s="3"/>
      <c r="AC17" s="654"/>
      <c r="AD17" s="655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2:256" s="628" customFormat="1" ht="15.95" customHeight="1">
      <c r="B18" s="646"/>
      <c r="C18" s="635"/>
      <c r="D18" s="650"/>
      <c r="E18" s="650"/>
      <c r="F18" s="648" t="s">
        <v>1361</v>
      </c>
      <c r="H18" s="628" t="str">
        <f>투입인원!$A$2</f>
        <v>적용직종 및 근무형태</v>
      </c>
      <c r="J18" s="650"/>
      <c r="K18" s="650"/>
      <c r="L18" s="650"/>
      <c r="M18" s="650"/>
      <c r="N18" s="650"/>
      <c r="O18" s="650"/>
      <c r="P18" s="650"/>
      <c r="Q18" s="650"/>
      <c r="R18" s="650"/>
      <c r="S18" s="650"/>
      <c r="T18" s="650"/>
      <c r="U18" s="650"/>
      <c r="V18" s="3"/>
      <c r="W18" s="637"/>
      <c r="X18" s="633"/>
      <c r="Y18" s="3"/>
      <c r="Z18" s="653" t="str">
        <f>인건비산정기준!$A$1</f>
        <v xml:space="preserve">[ 표 : 10 ] </v>
      </c>
      <c r="AA18" s="38"/>
      <c r="AB18" s="3"/>
      <c r="AC18" s="654"/>
      <c r="AD18" s="655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2:256" s="628" customFormat="1" ht="15.95" customHeight="1">
      <c r="B19" s="646"/>
      <c r="C19" s="635"/>
      <c r="D19" s="650"/>
      <c r="E19" s="650"/>
      <c r="F19" s="648" t="s">
        <v>1362</v>
      </c>
      <c r="H19" s="628" t="str">
        <f>근무일수!$A$2</f>
        <v>용역기간현황표</v>
      </c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3"/>
      <c r="W19" s="637"/>
      <c r="X19" s="633"/>
      <c r="Y19" s="3"/>
      <c r="Z19" s="653" t="str">
        <f>투입인원!$A$1</f>
        <v xml:space="preserve">[ 표 : 12 ] 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2:256" s="628" customFormat="1" ht="15.95" customHeight="1">
      <c r="B20" s="646"/>
      <c r="C20" s="635"/>
      <c r="D20" s="650"/>
      <c r="E20" s="650"/>
      <c r="F20" s="648" t="s">
        <v>1363</v>
      </c>
      <c r="H20" s="628" t="str">
        <f>가동시간!$A$2</f>
        <v>2023년 설비가동시간 및 처리량 산출표</v>
      </c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3"/>
      <c r="W20" s="637"/>
      <c r="X20" s="633"/>
      <c r="Y20" s="3"/>
      <c r="Z20" s="653" t="str">
        <f>근무일수!$A$1</f>
        <v xml:space="preserve">[ 표 : 13 ] 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2:256" s="628" customFormat="1" ht="15.95" customHeight="1">
      <c r="B21" s="646"/>
      <c r="C21" s="635"/>
      <c r="D21" s="650"/>
      <c r="E21" s="650"/>
      <c r="F21" s="648" t="s">
        <v>1364</v>
      </c>
      <c r="H21" s="628" t="str">
        <f>기간현황!$A$2</f>
        <v>2023년 상반기 용역기간현황표</v>
      </c>
      <c r="J21" s="650"/>
      <c r="K21" s="650"/>
      <c r="L21" s="650"/>
      <c r="M21" s="650"/>
      <c r="N21" s="650"/>
      <c r="O21" s="650"/>
      <c r="P21" s="650"/>
      <c r="Q21" s="650"/>
      <c r="R21" s="650"/>
      <c r="S21" s="650"/>
      <c r="T21" s="650"/>
      <c r="U21" s="650"/>
      <c r="V21" s="3"/>
      <c r="W21" s="637"/>
      <c r="X21" s="633"/>
      <c r="Y21" s="3"/>
      <c r="Z21" s="653" t="str">
        <f>가동시간!$A$1</f>
        <v xml:space="preserve">[ 표 : 14 ] 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2:256" s="628" customFormat="1" ht="15.95" customHeight="1">
      <c r="B22" s="646"/>
      <c r="C22" s="635"/>
      <c r="D22" s="650"/>
      <c r="E22" s="650"/>
      <c r="F22" s="648" t="s">
        <v>1365</v>
      </c>
      <c r="H22" s="628" t="str">
        <f>경비집계!$A$2</f>
        <v>경비집계표</v>
      </c>
      <c r="J22" s="650"/>
      <c r="K22" s="650"/>
      <c r="L22" s="650"/>
      <c r="M22" s="650"/>
      <c r="N22" s="650"/>
      <c r="O22" s="650"/>
      <c r="P22" s="650"/>
      <c r="Q22" s="650"/>
      <c r="R22" s="650"/>
      <c r="S22" s="650"/>
      <c r="T22" s="650"/>
      <c r="U22" s="650"/>
      <c r="V22" s="3"/>
      <c r="W22" s="637"/>
      <c r="X22" s="633"/>
      <c r="Y22" s="3"/>
      <c r="Z22" s="653" t="str">
        <f>기간현황!$A$1</f>
        <v xml:space="preserve">[ 표 : 15 ] 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2:256" s="628" customFormat="1" ht="15.95" customHeight="1">
      <c r="B23" s="646"/>
      <c r="C23" s="635"/>
      <c r="D23" s="650"/>
      <c r="E23" s="650"/>
      <c r="F23" s="648" t="s">
        <v>1366</v>
      </c>
      <c r="H23" s="628" t="str">
        <f>'고정)인적보험료집계'!$A$2</f>
        <v>보험료집계표</v>
      </c>
      <c r="J23" s="650"/>
      <c r="K23" s="650"/>
      <c r="L23" s="650"/>
      <c r="M23" s="650"/>
      <c r="N23" s="650"/>
      <c r="O23" s="650"/>
      <c r="P23" s="650"/>
      <c r="Q23" s="650"/>
      <c r="R23" s="650"/>
      <c r="S23" s="650"/>
      <c r="T23" s="650"/>
      <c r="U23" s="650"/>
      <c r="V23" s="3"/>
      <c r="W23" s="637"/>
      <c r="X23" s="633"/>
      <c r="Y23" s="3"/>
      <c r="Z23" s="653" t="str">
        <f>경비집계!$A$1</f>
        <v xml:space="preserve">[ 표 : 16 ] </v>
      </c>
      <c r="AA23" s="38"/>
      <c r="AB23" s="3"/>
      <c r="AC23" s="654"/>
      <c r="AD23" s="655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2:256" s="628" customFormat="1" ht="15.95" customHeight="1">
      <c r="B24" s="646"/>
      <c r="C24" s="635"/>
      <c r="D24" s="650"/>
      <c r="E24" s="650"/>
      <c r="F24" s="648" t="s">
        <v>1367</v>
      </c>
      <c r="H24" s="628" t="str">
        <f>'고정)인적보험료'!$A$2</f>
        <v>단위(1인)당 보험료산출표</v>
      </c>
      <c r="J24" s="650"/>
      <c r="K24" s="650"/>
      <c r="L24" s="650"/>
      <c r="M24" s="650"/>
      <c r="N24" s="650"/>
      <c r="O24" s="650"/>
      <c r="P24" s="650"/>
      <c r="Q24" s="650"/>
      <c r="R24" s="650"/>
      <c r="S24" s="650"/>
      <c r="T24" s="650"/>
      <c r="U24" s="650"/>
      <c r="V24" s="3"/>
      <c r="W24" s="637"/>
      <c r="X24" s="633"/>
      <c r="Y24" s="3"/>
      <c r="Z24" s="653" t="str">
        <f>'고정)인적보험료집계'!$A$1</f>
        <v xml:space="preserve">[ 표 : 17 ] </v>
      </c>
      <c r="AA24" s="38"/>
      <c r="AB24" s="3"/>
      <c r="AC24" s="654"/>
      <c r="AD24" s="655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2:256" s="628" customFormat="1" ht="15.95" customHeight="1">
      <c r="B25" s="646"/>
      <c r="C25" s="635"/>
      <c r="F25" s="648" t="s">
        <v>1368</v>
      </c>
      <c r="H25" s="628" t="str">
        <f>'고정)복리후생비집계'!$A$2</f>
        <v>복리후생비집계표</v>
      </c>
      <c r="J25" s="650"/>
      <c r="K25" s="650"/>
      <c r="L25" s="650"/>
      <c r="M25" s="650"/>
      <c r="N25" s="650"/>
      <c r="O25" s="650"/>
      <c r="P25" s="650"/>
      <c r="Q25" s="650"/>
      <c r="R25" s="650"/>
      <c r="S25" s="650"/>
      <c r="T25" s="650"/>
      <c r="U25" s="650"/>
      <c r="V25" s="3"/>
      <c r="W25" s="637"/>
      <c r="X25" s="633"/>
      <c r="Y25" s="3"/>
      <c r="Z25" s="653" t="str">
        <f>'고정)인적보험료'!$A$1</f>
        <v xml:space="preserve">[ 표 : 18 ] </v>
      </c>
    </row>
    <row r="26" spans="2:256" s="628" customFormat="1" ht="15.95" customHeight="1">
      <c r="B26" s="646"/>
      <c r="C26" s="635"/>
      <c r="F26" s="648" t="s">
        <v>1369</v>
      </c>
      <c r="H26" s="628" t="str">
        <f>'고정)피복비'!$A$2</f>
        <v>단위(1인)당 피복비산출표</v>
      </c>
      <c r="J26" s="650"/>
      <c r="K26" s="650"/>
      <c r="L26" s="650"/>
      <c r="M26" s="650"/>
      <c r="N26" s="650"/>
      <c r="O26" s="650"/>
      <c r="P26" s="650"/>
      <c r="Q26" s="650"/>
      <c r="R26" s="650"/>
      <c r="S26" s="650"/>
      <c r="T26" s="650"/>
      <c r="U26" s="650"/>
      <c r="V26" s="3"/>
      <c r="W26" s="637"/>
      <c r="X26" s="633"/>
      <c r="Y26" s="3"/>
      <c r="Z26" s="653" t="str">
        <f>'고정)복리후생비집계'!$A$1</f>
        <v xml:space="preserve">[ 표 : 19 ] </v>
      </c>
    </row>
    <row r="27" spans="2:256" s="628" customFormat="1" ht="15.95" customHeight="1">
      <c r="B27" s="646"/>
      <c r="C27" s="635"/>
      <c r="F27" s="648" t="s">
        <v>1370</v>
      </c>
      <c r="H27" s="628" t="str">
        <f>'고정)식대'!$A$2</f>
        <v>단위(1인)당 식대산출표</v>
      </c>
      <c r="J27" s="650"/>
      <c r="K27" s="650"/>
      <c r="L27" s="650"/>
      <c r="M27" s="650"/>
      <c r="N27" s="650"/>
      <c r="O27" s="650"/>
      <c r="P27" s="650"/>
      <c r="Q27" s="650"/>
      <c r="R27" s="650"/>
      <c r="S27" s="650"/>
      <c r="T27" s="650"/>
      <c r="U27" s="650"/>
      <c r="V27" s="3"/>
      <c r="W27" s="637"/>
      <c r="X27" s="633"/>
      <c r="Y27" s="3"/>
      <c r="Z27" s="653" t="str">
        <f>'고정)피복비'!$A$1</f>
        <v xml:space="preserve">[ 표 : 20 ] </v>
      </c>
    </row>
    <row r="28" spans="2:256" s="628" customFormat="1" ht="15.95" customHeight="1">
      <c r="B28" s="646"/>
      <c r="C28" s="635"/>
      <c r="F28" s="648" t="s">
        <v>1371</v>
      </c>
      <c r="H28" s="628" t="str">
        <f>'고정)건강검진비'!$A$2</f>
        <v>단위(1인)당 건강검진비산출표</v>
      </c>
      <c r="J28" s="650"/>
      <c r="K28" s="650"/>
      <c r="L28" s="650"/>
      <c r="M28" s="650"/>
      <c r="N28" s="650"/>
      <c r="O28" s="650"/>
      <c r="P28" s="650"/>
      <c r="Q28" s="650"/>
      <c r="R28" s="650"/>
      <c r="S28" s="650"/>
      <c r="T28" s="650"/>
      <c r="U28" s="650"/>
      <c r="V28" s="3"/>
      <c r="W28" s="637"/>
      <c r="X28" s="633"/>
      <c r="Y28" s="3"/>
      <c r="Z28" s="653" t="str">
        <f>'고정)식대'!$A$1</f>
        <v xml:space="preserve">[ 표 : 21 ] </v>
      </c>
    </row>
    <row r="29" spans="2:256" s="628" customFormat="1" ht="15.95" customHeight="1">
      <c r="B29" s="646"/>
      <c r="C29" s="635"/>
      <c r="F29" s="648" t="s">
        <v>1372</v>
      </c>
      <c r="H29" s="628" t="str">
        <f>'고정)의약품'!$A$2</f>
        <v>단위(1인)당 의약품비산출표</v>
      </c>
      <c r="J29" s="650"/>
      <c r="K29" s="650"/>
      <c r="L29" s="650"/>
      <c r="M29" s="650"/>
      <c r="N29" s="650"/>
      <c r="O29" s="650"/>
      <c r="P29" s="650"/>
      <c r="Q29" s="650"/>
      <c r="R29" s="650"/>
      <c r="S29" s="650"/>
      <c r="T29" s="650"/>
      <c r="U29" s="650"/>
      <c r="V29" s="3"/>
      <c r="W29" s="637"/>
      <c r="X29" s="633"/>
      <c r="Y29" s="3"/>
      <c r="Z29" s="653" t="str">
        <f>'고정)건강검진비'!$A$1</f>
        <v xml:space="preserve">[ 표 : 22 ] </v>
      </c>
    </row>
    <row r="30" spans="2:256" ht="15.95" customHeight="1">
      <c r="B30" s="656"/>
      <c r="C30" s="637"/>
      <c r="D30" s="650"/>
      <c r="E30" s="650"/>
      <c r="F30" s="648" t="s">
        <v>1373</v>
      </c>
      <c r="G30" s="650"/>
      <c r="H30" s="628" t="str">
        <f>'고정)안전관리비'!$A$2</f>
        <v>안전관리비산출표</v>
      </c>
      <c r="I30" s="650"/>
      <c r="J30" s="650"/>
      <c r="K30" s="650"/>
      <c r="L30" s="650"/>
      <c r="M30" s="650"/>
      <c r="N30" s="650"/>
      <c r="O30" s="650"/>
      <c r="P30" s="650"/>
      <c r="Q30" s="650"/>
      <c r="R30" s="650"/>
      <c r="S30" s="650"/>
      <c r="T30" s="650"/>
      <c r="U30" s="650"/>
      <c r="W30" s="637"/>
      <c r="X30" s="633"/>
      <c r="Z30" s="653" t="str">
        <f>'고정)의약품'!$A$1</f>
        <v xml:space="preserve">[ 표 : 23 ] </v>
      </c>
    </row>
    <row r="31" spans="2:256" ht="15.95" customHeight="1">
      <c r="B31" s="656"/>
      <c r="C31" s="637"/>
      <c r="D31" s="650"/>
      <c r="E31" s="650"/>
      <c r="F31" s="648" t="s">
        <v>1374</v>
      </c>
      <c r="G31" s="650"/>
      <c r="H31" s="628" t="str">
        <f>'고정)교육훈련비'!$A$2</f>
        <v>교육훈련비산출표</v>
      </c>
      <c r="I31" s="650"/>
      <c r="J31" s="650"/>
      <c r="K31" s="650"/>
      <c r="L31" s="650"/>
      <c r="M31" s="650"/>
      <c r="N31" s="650"/>
      <c r="O31" s="650"/>
      <c r="P31" s="650"/>
      <c r="Q31" s="650"/>
      <c r="R31" s="650"/>
      <c r="S31" s="650"/>
      <c r="T31" s="650"/>
      <c r="U31" s="650"/>
      <c r="W31" s="637"/>
      <c r="X31" s="633"/>
      <c r="Z31" s="653" t="str">
        <f>'고정)안전관리비'!$A$1</f>
        <v xml:space="preserve">[ 표 : 24 ] </v>
      </c>
    </row>
    <row r="32" spans="2:256" ht="15.95" customHeight="1">
      <c r="B32" s="656"/>
      <c r="C32" s="637"/>
      <c r="D32" s="650"/>
      <c r="E32" s="650"/>
      <c r="F32" s="648" t="s">
        <v>1375</v>
      </c>
      <c r="G32" s="650"/>
      <c r="H32" s="628" t="str">
        <f>'고정)소모품비'!$A$2</f>
        <v>소모품비산출표</v>
      </c>
      <c r="I32" s="650"/>
      <c r="J32" s="650"/>
      <c r="K32" s="650"/>
      <c r="L32" s="650"/>
      <c r="M32" s="650"/>
      <c r="N32" s="650"/>
      <c r="O32" s="650"/>
      <c r="P32" s="650"/>
      <c r="Q32" s="650"/>
      <c r="R32" s="650"/>
      <c r="S32" s="650"/>
      <c r="T32" s="650"/>
      <c r="U32" s="650"/>
      <c r="W32" s="637"/>
      <c r="X32" s="633"/>
      <c r="Z32" s="653" t="str">
        <f>'고정)교육훈련비'!$A$1</f>
        <v xml:space="preserve">[ 표 : 25 ] </v>
      </c>
    </row>
    <row r="33" spans="2:26" ht="15.95" customHeight="1">
      <c r="B33" s="656"/>
      <c r="C33" s="637"/>
      <c r="D33" s="650"/>
      <c r="E33" s="650"/>
      <c r="F33" s="648" t="s">
        <v>1376</v>
      </c>
      <c r="G33" s="650"/>
      <c r="H33" s="628" t="str">
        <f>'고정)출장여비'!$A$2</f>
        <v>출장여비산출표</v>
      </c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W33" s="637"/>
      <c r="X33" s="633"/>
      <c r="Z33" s="653" t="str">
        <f>'고정)소모품비'!$A$1</f>
        <v xml:space="preserve">[ 표 : 26 ] </v>
      </c>
    </row>
    <row r="34" spans="2:26" ht="15.95" customHeight="1">
      <c r="B34" s="656"/>
      <c r="C34" s="637"/>
      <c r="D34" s="650"/>
      <c r="E34" s="650"/>
      <c r="F34" s="648" t="s">
        <v>1377</v>
      </c>
      <c r="G34" s="650"/>
      <c r="H34" s="628" t="str">
        <f>운임!$A$2</f>
        <v>국내여비운임조사표</v>
      </c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W34" s="637"/>
      <c r="X34" s="633"/>
      <c r="Z34" s="653" t="str">
        <f>'고정)출장여비'!$A$1</f>
        <v xml:space="preserve">[ 표 : 27 ] </v>
      </c>
    </row>
    <row r="35" spans="2:26" ht="15.95" customHeight="1">
      <c r="B35" s="656"/>
      <c r="C35" s="637"/>
      <c r="D35" s="650"/>
      <c r="E35" s="650"/>
      <c r="F35" s="648" t="s">
        <v>1378</v>
      </c>
      <c r="G35" s="650"/>
      <c r="H35" s="628" t="str">
        <f>'고정)통신비'!$A$2</f>
        <v>통신비산출표</v>
      </c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W35" s="637"/>
      <c r="X35" s="633"/>
      <c r="Z35" s="653" t="str">
        <f>운임!$A$1</f>
        <v xml:space="preserve">[ 표 : 28 ] </v>
      </c>
    </row>
    <row r="36" spans="2:26" ht="15.95" customHeight="1">
      <c r="B36" s="656"/>
      <c r="C36" s="637"/>
      <c r="D36" s="650"/>
      <c r="E36" s="650"/>
      <c r="F36" s="648" t="s">
        <v>1379</v>
      </c>
      <c r="G36" s="650"/>
      <c r="H36" s="628" t="str">
        <f>'변동)소모자재비'!$A$2</f>
        <v>소모자재비산출표</v>
      </c>
      <c r="I36" s="650"/>
      <c r="J36" s="650"/>
      <c r="K36" s="650"/>
      <c r="L36" s="650"/>
      <c r="M36" s="650"/>
      <c r="N36" s="650"/>
      <c r="O36" s="650"/>
      <c r="P36" s="650"/>
      <c r="Q36" s="650"/>
      <c r="R36" s="650"/>
      <c r="S36" s="650"/>
      <c r="T36" s="650"/>
      <c r="U36" s="650"/>
      <c r="W36" s="637"/>
      <c r="X36" s="633"/>
      <c r="Z36" s="653" t="str">
        <f>'고정)통신비'!$A$1</f>
        <v xml:space="preserve">[ 표 : 29 ] </v>
      </c>
    </row>
    <row r="37" spans="2:26" ht="15.95" customHeight="1">
      <c r="B37" s="656"/>
      <c r="C37" s="637"/>
      <c r="D37" s="650"/>
      <c r="E37" s="650"/>
      <c r="F37" s="648" t="s">
        <v>1380</v>
      </c>
      <c r="G37" s="650"/>
      <c r="H37" s="628" t="str">
        <f>'변동)수선유지비'!$A$2</f>
        <v>수선유지비산출표</v>
      </c>
      <c r="I37" s="650"/>
      <c r="J37" s="650"/>
      <c r="K37" s="650"/>
      <c r="L37" s="650"/>
      <c r="M37" s="650"/>
      <c r="N37" s="650"/>
      <c r="O37" s="650"/>
      <c r="P37" s="650"/>
      <c r="Q37" s="650"/>
      <c r="R37" s="650"/>
      <c r="S37" s="650"/>
      <c r="T37" s="650"/>
      <c r="U37" s="650"/>
      <c r="W37" s="637"/>
      <c r="X37" s="633"/>
      <c r="Z37" s="653" t="str">
        <f>'변동)소모자재비'!$A$1</f>
        <v xml:space="preserve">[ 표 : 30 ] </v>
      </c>
    </row>
    <row r="38" spans="2:26" ht="15.95" customHeight="1">
      <c r="B38" s="656"/>
      <c r="C38" s="637"/>
      <c r="D38" s="650"/>
      <c r="E38" s="650"/>
      <c r="F38" s="648" t="s">
        <v>1381</v>
      </c>
      <c r="G38" s="650"/>
      <c r="H38" s="628" t="str">
        <f>'변동)측정검사수수료'!$A$2</f>
        <v>측정검사수수료산출표</v>
      </c>
      <c r="I38" s="650"/>
      <c r="J38" s="650"/>
      <c r="K38" s="650"/>
      <c r="L38" s="650"/>
      <c r="M38" s="650"/>
      <c r="N38" s="650"/>
      <c r="O38" s="650"/>
      <c r="P38" s="650"/>
      <c r="Q38" s="650"/>
      <c r="R38" s="650"/>
      <c r="S38" s="650"/>
      <c r="T38" s="650"/>
      <c r="U38" s="650"/>
      <c r="W38" s="637"/>
      <c r="X38" s="633"/>
      <c r="Z38" s="653" t="str">
        <f>'변동)수선유지비'!$A$1</f>
        <v xml:space="preserve">[ 표 : 31 ] </v>
      </c>
    </row>
    <row r="39" spans="2:26" ht="15.95" customHeight="1">
      <c r="B39" s="656"/>
      <c r="C39" s="637"/>
      <c r="D39" s="650"/>
      <c r="E39" s="650"/>
      <c r="F39" s="648" t="s">
        <v>1382</v>
      </c>
      <c r="G39" s="650"/>
      <c r="H39" s="628" t="str">
        <f>'변동)안전점검대행비'!$A$2</f>
        <v>안전점검 대행수수료산출표</v>
      </c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W39" s="637"/>
      <c r="X39" s="633"/>
      <c r="Z39" s="653" t="str">
        <f>'변동)측정검사수수료'!$A$1</f>
        <v xml:space="preserve">[ 표 : 32 ] </v>
      </c>
    </row>
    <row r="40" spans="2:26" ht="15.95" customHeight="1">
      <c r="B40" s="656"/>
      <c r="C40" s="637"/>
      <c r="D40" s="650"/>
      <c r="E40" s="650"/>
      <c r="F40" s="648" t="s">
        <v>1383</v>
      </c>
      <c r="G40" s="650"/>
      <c r="H40" s="628" t="str">
        <f>'변동)차량유지비'!$A$2</f>
        <v>차량유지비산출표</v>
      </c>
      <c r="I40" s="650"/>
      <c r="J40" s="650"/>
      <c r="K40" s="650"/>
      <c r="L40" s="650"/>
      <c r="M40" s="650"/>
      <c r="N40" s="650"/>
      <c r="O40" s="650"/>
      <c r="P40" s="650"/>
      <c r="Q40" s="650"/>
      <c r="R40" s="650"/>
      <c r="S40" s="650"/>
      <c r="T40" s="650"/>
      <c r="U40" s="650"/>
      <c r="W40" s="637"/>
      <c r="X40" s="633"/>
      <c r="Z40" s="653" t="str">
        <f>'변동)안전점검대행비'!$A$1</f>
        <v xml:space="preserve">[ 표 : 33 ] </v>
      </c>
    </row>
    <row r="41" spans="2:26" ht="15.95" customHeight="1">
      <c r="B41" s="656"/>
      <c r="C41" s="637"/>
      <c r="D41" s="650"/>
      <c r="E41" s="650"/>
      <c r="F41" s="648" t="s">
        <v>1384</v>
      </c>
      <c r="G41" s="650"/>
      <c r="H41" s="628" t="str">
        <f>'변동)보안관리비'!$A$2</f>
        <v>보안관리비산출표</v>
      </c>
      <c r="I41" s="650"/>
      <c r="J41" s="650"/>
      <c r="K41" s="650"/>
      <c r="L41" s="650"/>
      <c r="M41" s="650"/>
      <c r="N41" s="650"/>
      <c r="O41" s="650"/>
      <c r="P41" s="650"/>
      <c r="Q41" s="650"/>
      <c r="R41" s="650"/>
      <c r="S41" s="650"/>
      <c r="T41" s="650"/>
      <c r="U41" s="650"/>
      <c r="W41" s="637"/>
      <c r="X41" s="633"/>
      <c r="Z41" s="653" t="str">
        <f>'변동)차량유지비'!$A$1</f>
        <v xml:space="preserve">[ 표 : 34 ] </v>
      </c>
    </row>
    <row r="42" spans="2:26" ht="15.95" customHeight="1">
      <c r="B42" s="656"/>
      <c r="C42" s="637"/>
      <c r="D42" s="650"/>
      <c r="E42" s="650"/>
      <c r="F42" s="648" t="s">
        <v>1385</v>
      </c>
      <c r="G42" s="650"/>
      <c r="H42" s="650" t="str">
        <f>'변동)수집운반비'!$A$2</f>
        <v>수집운반비 산출표</v>
      </c>
      <c r="I42" s="650"/>
      <c r="J42" s="650"/>
      <c r="K42" s="650"/>
      <c r="L42" s="650"/>
      <c r="M42" s="650"/>
      <c r="N42" s="650"/>
      <c r="O42" s="650"/>
      <c r="P42" s="650"/>
      <c r="Q42" s="650"/>
      <c r="R42" s="650"/>
      <c r="S42" s="650"/>
      <c r="T42" s="650"/>
      <c r="U42" s="650"/>
      <c r="W42" s="637"/>
      <c r="X42" s="633"/>
      <c r="Z42" s="653" t="str">
        <f>'변동)보안관리비'!$A$1</f>
        <v xml:space="preserve">[ 표 : 35 ] </v>
      </c>
    </row>
    <row r="43" spans="2:26" ht="15.95" customHeight="1">
      <c r="B43" s="656"/>
      <c r="C43" s="637"/>
      <c r="D43" s="650"/>
      <c r="E43" s="650"/>
      <c r="F43" s="648" t="s">
        <v>1386</v>
      </c>
      <c r="G43" s="650"/>
      <c r="H43" s="628" t="str">
        <f>'변동-대)전력비'!$A$2</f>
        <v>전력비산출표</v>
      </c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W43" s="637"/>
      <c r="X43" s="633"/>
      <c r="Z43" s="653" t="str">
        <f>'변동-대)전력비'!$A$1</f>
        <v xml:space="preserve">[ 표 : 37 ] </v>
      </c>
    </row>
    <row r="44" spans="2:26" ht="15.95" customHeight="1">
      <c r="B44" s="656"/>
      <c r="C44" s="637"/>
      <c r="D44" s="650"/>
      <c r="E44" s="650"/>
      <c r="F44" s="648" t="s">
        <v>1387</v>
      </c>
      <c r="G44" s="650"/>
      <c r="H44" s="628" t="str">
        <f>전력사용량!$A$2</f>
        <v>전력사용량(kWh)산출표</v>
      </c>
      <c r="I44" s="650"/>
      <c r="J44" s="650"/>
      <c r="K44" s="650"/>
      <c r="L44" s="650"/>
      <c r="M44" s="650"/>
      <c r="N44" s="650"/>
      <c r="O44" s="650"/>
      <c r="P44" s="650"/>
      <c r="Q44" s="650"/>
      <c r="R44" s="650"/>
      <c r="S44" s="650"/>
      <c r="T44" s="650"/>
      <c r="U44" s="650"/>
      <c r="W44" s="637"/>
      <c r="X44" s="633"/>
      <c r="Z44" s="653" t="str">
        <f>전력사용량!$A$1</f>
        <v xml:space="preserve">[ 표 : 38 ] </v>
      </c>
    </row>
    <row r="45" spans="2:26" ht="15.95" customHeight="1">
      <c r="B45" s="656"/>
      <c r="C45" s="637"/>
      <c r="D45" s="650"/>
      <c r="E45" s="650"/>
      <c r="F45" s="648" t="s">
        <v>1388</v>
      </c>
      <c r="G45" s="650"/>
      <c r="H45" s="628" t="str">
        <f>'변동-대)수도광열비'!$A$2</f>
        <v>수도광열비산출표</v>
      </c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W45" s="637"/>
      <c r="X45" s="633"/>
      <c r="Z45" s="653" t="str">
        <f>'변동-대)수도광열비'!$A$1</f>
        <v xml:space="preserve">[ 표 : 39 ] </v>
      </c>
    </row>
    <row r="46" spans="2:26" ht="15.95" customHeight="1">
      <c r="B46" s="656"/>
      <c r="C46" s="637"/>
      <c r="D46" s="650"/>
      <c r="E46" s="650"/>
      <c r="F46" s="648" t="s">
        <v>1389</v>
      </c>
      <c r="G46" s="650"/>
      <c r="H46" s="628" t="str">
        <f>'변동-대)시설물보험료'!$A$2</f>
        <v>시설물보험료산출표</v>
      </c>
      <c r="I46" s="650"/>
      <c r="J46" s="650"/>
      <c r="K46" s="650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W46" s="637"/>
      <c r="X46" s="633"/>
      <c r="Z46" s="653" t="str">
        <f>'변동-대)시설물보험료'!$A$1</f>
        <v xml:space="preserve">[ 표 : 40 ] </v>
      </c>
    </row>
    <row r="47" spans="2:26" ht="15.95" customHeight="1">
      <c r="B47" s="656"/>
      <c r="C47" s="637"/>
      <c r="D47" s="650"/>
      <c r="E47" s="650"/>
      <c r="F47" s="648" t="s">
        <v>1390</v>
      </c>
      <c r="G47" s="650"/>
      <c r="H47" s="628" t="str">
        <f>일반관리비!$A$2</f>
        <v>일반관리비산출표</v>
      </c>
      <c r="I47" s="650"/>
      <c r="J47" s="650"/>
      <c r="K47" s="650"/>
      <c r="L47" s="650"/>
      <c r="M47" s="650"/>
      <c r="N47" s="650"/>
      <c r="O47" s="650"/>
      <c r="P47" s="650"/>
      <c r="Q47" s="650"/>
      <c r="R47" s="650"/>
      <c r="S47" s="650"/>
      <c r="T47" s="650"/>
      <c r="U47" s="650"/>
      <c r="W47" s="637"/>
      <c r="X47" s="633"/>
      <c r="Z47" s="653" t="str">
        <f>보험료산정기준!$A$1</f>
        <v xml:space="preserve">[ 표 : 11 ] </v>
      </c>
    </row>
    <row r="48" spans="2:26" ht="15.95" customHeight="1">
      <c r="B48" s="656"/>
      <c r="C48" s="637"/>
      <c r="D48" s="650"/>
      <c r="E48" s="650"/>
      <c r="F48" s="648" t="s">
        <v>1391</v>
      </c>
      <c r="G48" s="650"/>
      <c r="H48" s="628" t="str">
        <f>일반관리비율!$A$2</f>
        <v>일반관리비율산출표</v>
      </c>
      <c r="I48" s="650"/>
      <c r="J48" s="650"/>
      <c r="K48" s="650"/>
      <c r="L48" s="650"/>
      <c r="M48" s="650"/>
      <c r="N48" s="650"/>
      <c r="O48" s="650"/>
      <c r="P48" s="650"/>
      <c r="Q48" s="650"/>
      <c r="R48" s="650"/>
      <c r="S48" s="650"/>
      <c r="T48" s="650"/>
      <c r="U48" s="650"/>
      <c r="W48" s="637"/>
      <c r="X48" s="633"/>
      <c r="Z48" s="653" t="e">
        <f>#REF!</f>
        <v>#REF!</v>
      </c>
    </row>
    <row r="49" spans="1:26" ht="15.95" customHeight="1">
      <c r="B49" s="656"/>
      <c r="C49" s="637"/>
      <c r="D49" s="650"/>
      <c r="E49" s="650"/>
      <c r="F49" s="648" t="s">
        <v>1392</v>
      </c>
      <c r="G49" s="650"/>
      <c r="H49" s="628" t="str">
        <f>'일반-시행규칙'!$A$2</f>
        <v>일반관리비율표</v>
      </c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W49" s="637"/>
      <c r="X49" s="633"/>
      <c r="Z49" s="653" t="str">
        <f>일반관리비!$A$1</f>
        <v xml:space="preserve">[ 표 : 41 ] </v>
      </c>
    </row>
    <row r="50" spans="1:26" ht="15.95" customHeight="1">
      <c r="B50" s="656"/>
      <c r="C50" s="637"/>
      <c r="D50" s="650"/>
      <c r="E50" s="650"/>
      <c r="F50" s="648" t="s">
        <v>1393</v>
      </c>
      <c r="G50" s="650"/>
      <c r="H50" s="628" t="str">
        <f>이윤!$A$2</f>
        <v>이윤산출표</v>
      </c>
      <c r="I50" s="650"/>
      <c r="J50" s="650"/>
      <c r="K50" s="650"/>
      <c r="L50" s="650"/>
      <c r="M50" s="650"/>
      <c r="N50" s="650"/>
      <c r="O50" s="650"/>
      <c r="P50" s="650"/>
      <c r="Q50" s="650"/>
      <c r="R50" s="650"/>
      <c r="S50" s="650"/>
      <c r="T50" s="650"/>
      <c r="U50" s="650"/>
      <c r="W50" s="637"/>
      <c r="X50" s="633"/>
      <c r="Z50" s="653" t="str">
        <f>일반관리비율!$A$1</f>
        <v xml:space="preserve">[ 표 : 42 ] </v>
      </c>
    </row>
    <row r="51" spans="1:26" ht="15.95" customHeight="1">
      <c r="B51" s="656"/>
      <c r="C51" s="637"/>
      <c r="D51" s="650"/>
      <c r="E51" s="650"/>
      <c r="F51" s="648" t="s">
        <v>1394</v>
      </c>
      <c r="G51" s="650"/>
      <c r="H51" s="628" t="str">
        <f>이윤율!$A$2</f>
        <v>이윤비율표</v>
      </c>
      <c r="I51" s="650"/>
      <c r="J51" s="650"/>
      <c r="K51" s="650"/>
      <c r="L51" s="650"/>
      <c r="M51" s="650"/>
      <c r="N51" s="650"/>
      <c r="O51" s="650"/>
      <c r="P51" s="650"/>
      <c r="Q51" s="650"/>
      <c r="R51" s="650"/>
      <c r="S51" s="650"/>
      <c r="T51" s="650"/>
      <c r="U51" s="650"/>
      <c r="W51" s="637"/>
      <c r="X51" s="633"/>
      <c r="Z51" s="653" t="str">
        <f>'일반-시행규칙'!$A$1</f>
        <v xml:space="preserve">[ 표 : 43 ] </v>
      </c>
    </row>
    <row r="52" spans="1:26" ht="15.95" customHeight="1">
      <c r="B52" s="656"/>
      <c r="C52" s="637"/>
      <c r="D52" s="650"/>
      <c r="E52" s="650"/>
      <c r="F52" s="648" t="s">
        <v>1395</v>
      </c>
      <c r="G52" s="650"/>
      <c r="H52" s="628" t="str">
        <f>기업분석!$A$2</f>
        <v>기업경영분석자료</v>
      </c>
      <c r="I52" s="650"/>
      <c r="J52" s="650"/>
      <c r="K52" s="650"/>
      <c r="L52" s="650"/>
      <c r="M52" s="650"/>
      <c r="N52" s="650"/>
      <c r="O52" s="650"/>
      <c r="P52" s="650"/>
      <c r="Q52" s="650"/>
      <c r="R52" s="650"/>
      <c r="S52" s="650"/>
      <c r="T52" s="650"/>
      <c r="U52" s="650"/>
      <c r="W52" s="637"/>
      <c r="X52" s="633"/>
      <c r="Z52" s="653"/>
    </row>
    <row r="53" spans="1:26" ht="9.75" customHeight="1">
      <c r="B53" s="656"/>
      <c r="C53" s="637"/>
      <c r="F53" s="657"/>
      <c r="H53" s="653"/>
      <c r="W53" s="637"/>
      <c r="X53" s="633"/>
      <c r="Z53" s="653"/>
    </row>
    <row r="54" spans="1:26" ht="6.75" customHeight="1">
      <c r="A54" s="637"/>
      <c r="B54" s="656"/>
      <c r="C54" s="638"/>
      <c r="D54" s="633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633"/>
      <c r="Q54" s="633"/>
      <c r="R54" s="633"/>
      <c r="S54" s="633"/>
      <c r="T54" s="633"/>
      <c r="U54" s="633"/>
      <c r="V54" s="633"/>
      <c r="W54" s="638"/>
      <c r="X54" s="633"/>
    </row>
    <row r="55" spans="1:26" ht="5.25" customHeight="1">
      <c r="B55" s="638"/>
      <c r="C55" s="637"/>
      <c r="D55" s="637"/>
      <c r="E55" s="637"/>
      <c r="F55" s="637"/>
      <c r="G55" s="637"/>
      <c r="H55" s="637"/>
      <c r="I55" s="637"/>
      <c r="J55" s="637"/>
      <c r="K55" s="637"/>
      <c r="L55" s="637"/>
      <c r="M55" s="637"/>
      <c r="N55" s="637"/>
      <c r="O55" s="637"/>
      <c r="P55" s="637"/>
      <c r="Q55" s="637"/>
      <c r="R55" s="637"/>
      <c r="S55" s="637"/>
      <c r="T55" s="637"/>
      <c r="U55" s="637"/>
      <c r="V55" s="637"/>
      <c r="W55" s="637"/>
      <c r="X55" s="638"/>
      <c r="Y55" s="637"/>
    </row>
    <row r="56" spans="1:26" ht="20.100000000000001" customHeight="1">
      <c r="B56" s="633"/>
      <c r="X56" s="637"/>
    </row>
    <row r="57" spans="1:26" ht="20.100000000000001" customHeight="1"/>
    <row r="58" spans="1:26" ht="20.100000000000001" customHeight="1"/>
  </sheetData>
  <phoneticPr fontId="3" type="noConversion"/>
  <printOptions horizontalCentered="1"/>
  <pageMargins left="0.59055118110236227" right="0.59055118110236227" top="0.98425196850393704" bottom="0.78740157480314965" header="0.51181102362204722" footer="0.51181102362204722"/>
  <pageSetup paperSize="9" scale="85" firstPageNumber="14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view="pageBreakPreview" zoomScaleNormal="80" zoomScaleSheetLayoutView="100" workbookViewId="0">
      <selection activeCell="K18" sqref="K18"/>
    </sheetView>
  </sheetViews>
  <sheetFormatPr defaultRowHeight="12"/>
  <cols>
    <col min="1" max="1" width="11" style="3" customWidth="1"/>
    <col min="2" max="2" width="23.6640625" style="2" customWidth="1"/>
    <col min="3" max="3" width="8.21875" style="2" customWidth="1"/>
    <col min="4" max="4" width="18.33203125" style="2" customWidth="1"/>
    <col min="5" max="5" width="12.6640625" style="3" customWidth="1"/>
    <col min="6" max="6" width="6.77734375" style="3" hidden="1" customWidth="1"/>
    <col min="7" max="7" width="11.5546875" style="3" hidden="1" customWidth="1"/>
    <col min="8" max="8" width="9.44140625" style="3" hidden="1" customWidth="1"/>
    <col min="9" max="10" width="8.88671875" style="3"/>
    <col min="11" max="11" width="10.88671875" style="3" bestFit="1" customWidth="1"/>
    <col min="12" max="16384" width="8.88671875" style="3"/>
  </cols>
  <sheetData>
    <row r="1" spans="1:11" ht="18" customHeight="1">
      <c r="A1" s="1" t="str">
        <f>"[ 표 : "&amp;F1&amp;" ] "</f>
        <v xml:space="preserve">[ 표 : 1 ] </v>
      </c>
      <c r="F1" s="3">
        <v>1</v>
      </c>
    </row>
    <row r="2" spans="1:11" ht="39.950000000000003" customHeight="1" thickBot="1">
      <c r="A2" s="4" t="s">
        <v>248</v>
      </c>
      <c r="B2" s="4"/>
      <c r="C2" s="4"/>
      <c r="D2" s="4"/>
      <c r="E2" s="4"/>
      <c r="F2" s="5"/>
    </row>
    <row r="3" spans="1:11" ht="18.75" customHeight="1">
      <c r="A3" s="5"/>
      <c r="B3" s="5"/>
      <c r="C3" s="5"/>
      <c r="D3" s="5"/>
      <c r="E3" s="5"/>
      <c r="F3" s="5"/>
      <c r="G3" s="6"/>
      <c r="H3" s="7" t="s">
        <v>246</v>
      </c>
    </row>
    <row r="4" spans="1:11" ht="20.100000000000001" customHeight="1">
      <c r="E4" s="8" t="s">
        <v>95</v>
      </c>
      <c r="F4" s="8"/>
      <c r="G4" s="9" t="s">
        <v>17</v>
      </c>
      <c r="H4" s="10">
        <v>10</v>
      </c>
    </row>
    <row r="5" spans="1:11" ht="26.25" customHeight="1" thickBot="1">
      <c r="A5" s="1339" t="s">
        <v>752</v>
      </c>
      <c r="B5" s="1341" t="s">
        <v>751</v>
      </c>
      <c r="C5" s="1343" t="s">
        <v>311</v>
      </c>
      <c r="D5" s="1341" t="s">
        <v>753</v>
      </c>
      <c r="E5" s="1339" t="s">
        <v>97</v>
      </c>
      <c r="F5" s="12"/>
      <c r="G5" s="13" t="s">
        <v>218</v>
      </c>
      <c r="H5" s="14">
        <v>10</v>
      </c>
    </row>
    <row r="6" spans="1:11" ht="26.25" customHeight="1">
      <c r="A6" s="1340"/>
      <c r="B6" s="1342"/>
      <c r="C6" s="1344"/>
      <c r="D6" s="1342"/>
      <c r="E6" s="1340"/>
      <c r="F6" s="12"/>
    </row>
    <row r="7" spans="1:11" ht="23.25" customHeight="1">
      <c r="A7" s="11"/>
      <c r="B7" s="16"/>
      <c r="C7" s="16"/>
      <c r="D7" s="16"/>
      <c r="E7" s="11"/>
      <c r="F7" s="12"/>
    </row>
    <row r="8" spans="1:11" ht="33" customHeight="1">
      <c r="A8" s="17"/>
      <c r="B8" s="661"/>
      <c r="C8" s="19"/>
      <c r="D8" s="18"/>
      <c r="E8" s="18"/>
      <c r="F8" s="20"/>
      <c r="G8" s="21"/>
      <c r="K8" s="675"/>
    </row>
    <row r="9" spans="1:11" ht="33" customHeight="1">
      <c r="A9" s="17" t="s">
        <v>840</v>
      </c>
      <c r="B9" s="18" t="s">
        <v>1238</v>
      </c>
      <c r="C9" s="19">
        <v>12</v>
      </c>
      <c r="D9" s="18">
        <f>'36개월총괄'!H49</f>
        <v>4446495000</v>
      </c>
      <c r="E9" s="18"/>
      <c r="F9" s="20"/>
      <c r="G9" s="21"/>
      <c r="K9" s="675"/>
    </row>
    <row r="10" spans="1:11" ht="33" customHeight="1">
      <c r="A10" s="17" t="s">
        <v>841</v>
      </c>
      <c r="B10" s="18" t="s">
        <v>1239</v>
      </c>
      <c r="C10" s="19">
        <v>12</v>
      </c>
      <c r="D10" s="18">
        <f>'36개월총괄'!I49</f>
        <v>4471344000</v>
      </c>
      <c r="E10" s="18"/>
      <c r="F10" s="20"/>
      <c r="G10" s="21"/>
      <c r="K10" s="675"/>
    </row>
    <row r="11" spans="1:11" ht="33" customHeight="1">
      <c r="A11" s="17" t="s">
        <v>842</v>
      </c>
      <c r="B11" s="18" t="s">
        <v>1240</v>
      </c>
      <c r="C11" s="19">
        <v>12</v>
      </c>
      <c r="D11" s="18">
        <f>'36개월총괄'!J49</f>
        <v>4568441000</v>
      </c>
      <c r="E11" s="18"/>
      <c r="F11" s="20"/>
      <c r="G11" s="21"/>
      <c r="K11" s="675"/>
    </row>
    <row r="12" spans="1:11" ht="23.25" customHeight="1">
      <c r="A12" s="17"/>
      <c r="B12" s="18"/>
      <c r="C12" s="19"/>
      <c r="D12" s="18"/>
      <c r="E12" s="18"/>
      <c r="F12" s="20"/>
      <c r="G12" s="21"/>
      <c r="K12" s="675"/>
    </row>
    <row r="13" spans="1:11" ht="50.25" customHeight="1">
      <c r="A13" s="22" t="s">
        <v>343</v>
      </c>
      <c r="B13" s="23"/>
      <c r="C13" s="24">
        <f>SUM(C8:C12)</f>
        <v>36</v>
      </c>
      <c r="D13" s="662">
        <f>SUM(D8:D12)</f>
        <v>13486280000</v>
      </c>
      <c r="E13" s="23" t="s">
        <v>344</v>
      </c>
      <c r="F13" s="20"/>
      <c r="G13" s="21"/>
      <c r="K13" s="675"/>
    </row>
    <row r="14" spans="1:11" ht="18.75" customHeight="1">
      <c r="A14" s="25" t="str">
        <f>"주 1) 위탁기간(월) : 제시된 용역기간 적용"</f>
        <v>주 1) 위탁기간(월) : 제시된 용역기간 적용</v>
      </c>
      <c r="B14" s="21"/>
      <c r="C14" s="21"/>
      <c r="D14" s="21"/>
    </row>
    <row r="15" spans="1:11" ht="18.75" customHeight="1">
      <c r="A15" s="25" t="str">
        <f>"   2) 차수별용역비 : 월간용역비 ×위탁기간(월)"</f>
        <v xml:space="preserve">   2) 차수별용역비 : 월간용역비 ×위탁기간(월)</v>
      </c>
      <c r="B15" s="21"/>
      <c r="C15" s="21"/>
      <c r="D15" s="21"/>
    </row>
    <row r="16" spans="1:11" ht="18.75" customHeight="1">
      <c r="A16" s="3" t="s">
        <v>754</v>
      </c>
    </row>
    <row r="18" spans="4:4">
      <c r="D18" s="26"/>
    </row>
  </sheetData>
  <sheetProtection selectLockedCells="1"/>
  <mergeCells count="5">
    <mergeCell ref="A5:A6"/>
    <mergeCell ref="B5:B6"/>
    <mergeCell ref="C5:C6"/>
    <mergeCell ref="D5:D6"/>
    <mergeCell ref="E5:E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orientation="portrait" useFirstPageNumber="1" r:id="rId1"/>
  <headerFooter alignWithMargins="0">
    <oddFooter>&amp;C&amp;"바탕체,보통"&amp;10-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view="pageBreakPreview" zoomScaleNormal="80" zoomScaleSheetLayoutView="100" workbookViewId="0">
      <selection activeCell="K12" sqref="K12"/>
    </sheetView>
  </sheetViews>
  <sheetFormatPr defaultRowHeight="12"/>
  <cols>
    <col min="1" max="1" width="18.88671875" style="3" customWidth="1"/>
    <col min="2" max="2" width="15" style="2" customWidth="1"/>
    <col min="3" max="3" width="8.21875" style="2" customWidth="1"/>
    <col min="4" max="4" width="15" style="2" customWidth="1"/>
    <col min="5" max="5" width="15" style="3" customWidth="1"/>
    <col min="6" max="6" width="6.77734375" style="3" hidden="1" customWidth="1"/>
    <col min="7" max="7" width="11.5546875" style="3" hidden="1" customWidth="1"/>
    <col min="8" max="8" width="9.44140625" style="3" hidden="1" customWidth="1"/>
    <col min="9" max="9" width="0" style="3" hidden="1" customWidth="1"/>
    <col min="10" max="16384" width="8.88671875" style="3"/>
  </cols>
  <sheetData>
    <row r="1" spans="1:9" ht="18" customHeight="1">
      <c r="A1" s="1" t="str">
        <f>"[ 표 : "&amp;F1&amp;" ] "</f>
        <v xml:space="preserve">[ 표 : 1 ] </v>
      </c>
      <c r="F1" s="3">
        <v>1</v>
      </c>
    </row>
    <row r="2" spans="1:9" ht="39.950000000000003" customHeight="1" thickBot="1">
      <c r="A2" s="4" t="s">
        <v>248</v>
      </c>
      <c r="B2" s="4"/>
      <c r="C2" s="4"/>
      <c r="D2" s="4"/>
      <c r="E2" s="4"/>
      <c r="F2" s="5"/>
    </row>
    <row r="3" spans="1:9" ht="18.75" customHeight="1">
      <c r="A3" s="5"/>
      <c r="B3" s="5"/>
      <c r="C3" s="5"/>
      <c r="D3" s="5"/>
      <c r="E3" s="5"/>
      <c r="F3" s="5"/>
      <c r="G3" s="6"/>
      <c r="H3" s="7" t="s">
        <v>246</v>
      </c>
    </row>
    <row r="4" spans="1:9" ht="20.100000000000001" customHeight="1">
      <c r="E4" s="8" t="s">
        <v>95</v>
      </c>
      <c r="F4" s="8"/>
      <c r="G4" s="9" t="s">
        <v>217</v>
      </c>
      <c r="H4" s="10">
        <v>10</v>
      </c>
      <c r="I4" s="3">
        <f>일반관리비!E8</f>
        <v>9</v>
      </c>
    </row>
    <row r="5" spans="1:9" ht="26.25" customHeight="1" thickBot="1">
      <c r="A5" s="1339" t="s">
        <v>96</v>
      </c>
      <c r="B5" s="1341" t="s">
        <v>312</v>
      </c>
      <c r="C5" s="1343" t="s">
        <v>311</v>
      </c>
      <c r="D5" s="1341" t="s">
        <v>313</v>
      </c>
      <c r="E5" s="1339" t="s">
        <v>97</v>
      </c>
      <c r="F5" s="12"/>
      <c r="G5" s="13" t="s">
        <v>218</v>
      </c>
      <c r="H5" s="14">
        <v>10</v>
      </c>
    </row>
    <row r="6" spans="1:9" ht="26.25" customHeight="1">
      <c r="A6" s="1340"/>
      <c r="B6" s="1342"/>
      <c r="C6" s="1344"/>
      <c r="D6" s="1342"/>
      <c r="E6" s="1340"/>
      <c r="F6" s="12"/>
    </row>
    <row r="7" spans="1:9" ht="50.25" customHeight="1">
      <c r="A7" s="11"/>
      <c r="B7" s="16" t="s">
        <v>571</v>
      </c>
      <c r="C7" s="16" t="s">
        <v>137</v>
      </c>
      <c r="D7" s="16" t="s">
        <v>138</v>
      </c>
      <c r="E7" s="11"/>
      <c r="F7" s="12"/>
    </row>
    <row r="8" spans="1:9" ht="50.25" customHeight="1">
      <c r="A8" s="17" t="s">
        <v>1307</v>
      </c>
      <c r="B8" s="18">
        <f>'용역원가(24년)'!G51</f>
        <v>370541000</v>
      </c>
      <c r="C8" s="19">
        <v>12</v>
      </c>
      <c r="D8" s="18">
        <f>'용역원가(24년)'!H51</f>
        <v>4446495000</v>
      </c>
      <c r="E8" s="18"/>
      <c r="F8" s="20"/>
      <c r="G8" s="21"/>
    </row>
    <row r="9" spans="1:9" ht="50.25" customHeight="1">
      <c r="A9" s="17" t="s">
        <v>1308</v>
      </c>
      <c r="B9" s="18">
        <f>'용역원가(25년) '!G52</f>
        <v>372612000</v>
      </c>
      <c r="C9" s="19">
        <v>12</v>
      </c>
      <c r="D9" s="18">
        <f>차수별용역비!D10</f>
        <v>4471344000</v>
      </c>
      <c r="E9" s="18"/>
      <c r="F9" s="20"/>
      <c r="G9" s="21"/>
    </row>
    <row r="10" spans="1:9" ht="50.25" customHeight="1">
      <c r="A10" s="17" t="s">
        <v>1309</v>
      </c>
      <c r="B10" s="18">
        <f>'용역원가(26년)'!G51</f>
        <v>380703000</v>
      </c>
      <c r="C10" s="19">
        <v>12</v>
      </c>
      <c r="D10" s="18">
        <f>차수별용역비!D11</f>
        <v>4568441000</v>
      </c>
      <c r="E10" s="18"/>
      <c r="F10" s="20"/>
      <c r="G10" s="21"/>
    </row>
    <row r="11" spans="1:9" ht="50.25" customHeight="1">
      <c r="A11" s="17"/>
      <c r="B11" s="18"/>
      <c r="C11" s="19"/>
      <c r="D11" s="18"/>
      <c r="E11" s="18"/>
      <c r="F11" s="20"/>
      <c r="G11" s="21"/>
    </row>
    <row r="12" spans="1:9" ht="50.25" customHeight="1">
      <c r="A12" s="22" t="s">
        <v>343</v>
      </c>
      <c r="B12" s="23"/>
      <c r="C12" s="24"/>
      <c r="D12" s="1198">
        <f>SUM(D8:D10)</f>
        <v>13486280000</v>
      </c>
      <c r="E12" s="23" t="s">
        <v>344</v>
      </c>
      <c r="F12" s="20"/>
      <c r="G12" s="21"/>
    </row>
    <row r="13" spans="1:9" ht="18.75" customHeight="1">
      <c r="A13" s="25" t="str">
        <f>"주 1) 월간용역비 :  "&amp;'용역원가(24년)'!A1&amp;'용역원가(24년)'!A2&amp;" 참조"</f>
        <v>주 1) 월간용역비 :  [ 표 : 2 ] 용역원가계산서(2024년) 참조</v>
      </c>
      <c r="B13" s="21"/>
      <c r="C13" s="21"/>
      <c r="D13" s="21"/>
    </row>
    <row r="14" spans="1:9" ht="18.75" customHeight="1">
      <c r="A14" s="25" t="str">
        <f>"   2) 위탁기간(월) : 제시된 용역기간 적용"</f>
        <v xml:space="preserve">   2) 위탁기간(월) : 제시된 용역기간 적용</v>
      </c>
      <c r="B14" s="21"/>
      <c r="C14" s="21"/>
      <c r="D14" s="21"/>
    </row>
    <row r="15" spans="1:9" ht="18.75" customHeight="1">
      <c r="A15" s="25" t="str">
        <f>"   3) 연간용역비 : 월간용역비 ×위탁기간(년)"</f>
        <v xml:space="preserve">   3) 연간용역비 : 월간용역비 ×위탁기간(년)</v>
      </c>
      <c r="B15" s="21"/>
      <c r="C15" s="21"/>
      <c r="D15" s="21"/>
    </row>
    <row r="16" spans="1:9" ht="18.75" customHeight="1">
      <c r="A16" s="3" t="s">
        <v>739</v>
      </c>
    </row>
    <row r="18" spans="4:4">
      <c r="D18" s="26"/>
    </row>
  </sheetData>
  <mergeCells count="5">
    <mergeCell ref="A5:A6"/>
    <mergeCell ref="E5:E6"/>
    <mergeCell ref="B5:B6"/>
    <mergeCell ref="C5:C6"/>
    <mergeCell ref="D5:D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orientation="portrait" useFirstPageNumber="1" r:id="rId1"/>
  <headerFooter alignWithMargins="0">
    <oddFooter>&amp;C&amp;"바탕체,보통"&amp;10-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view="pageBreakPreview" topLeftCell="A23" zoomScaleNormal="80" zoomScaleSheetLayoutView="100" workbookViewId="0">
      <selection activeCell="G46" sqref="G46"/>
    </sheetView>
  </sheetViews>
  <sheetFormatPr defaultRowHeight="12"/>
  <cols>
    <col min="1" max="3" width="3.77734375" style="34" customWidth="1"/>
    <col min="4" max="4" width="1.109375" style="34" customWidth="1"/>
    <col min="5" max="5" width="16" style="34" customWidth="1"/>
    <col min="6" max="6" width="1.109375" style="34" customWidth="1"/>
    <col min="7" max="8" width="17.88671875" style="58" customWidth="1"/>
    <col min="9" max="9" width="17.88671875" style="58" hidden="1" customWidth="1"/>
    <col min="10" max="10" width="27.88671875" style="12" customWidth="1"/>
    <col min="11" max="11" width="8.88671875" style="12" hidden="1" customWidth="1"/>
    <col min="12" max="12" width="15.109375" style="317" hidden="1" customWidth="1"/>
    <col min="13" max="13" width="11.33203125" style="34" hidden="1" customWidth="1"/>
    <col min="14" max="14" width="8.88671875" style="34" hidden="1" customWidth="1"/>
    <col min="15" max="15" width="12.88671875" style="34" hidden="1" customWidth="1"/>
    <col min="16" max="16" width="0" style="34" hidden="1" customWidth="1"/>
    <col min="17" max="17" width="12.21875" style="34" bestFit="1" customWidth="1"/>
    <col min="18" max="16384" width="8.88671875" style="34"/>
  </cols>
  <sheetData>
    <row r="1" spans="1:15" ht="20.100000000000001" customHeight="1">
      <c r="A1" s="1" t="str">
        <f>"[ 표 : "&amp;K1&amp;" ] "</f>
        <v xml:space="preserve">[ 표 : 2 ] </v>
      </c>
      <c r="B1" s="1"/>
      <c r="C1" s="1"/>
      <c r="D1" s="1"/>
      <c r="E1" s="1"/>
      <c r="F1" s="1"/>
      <c r="G1" s="589"/>
      <c r="H1" s="589"/>
      <c r="I1" s="589"/>
      <c r="J1" s="589"/>
      <c r="K1" s="589">
        <f>용역원가집계!F1+1</f>
        <v>2</v>
      </c>
    </row>
    <row r="2" spans="1:15" s="36" customFormat="1" ht="26.25" customHeight="1">
      <c r="A2" s="35" t="s">
        <v>1348</v>
      </c>
      <c r="B2" s="35"/>
      <c r="C2" s="553"/>
      <c r="D2" s="553"/>
      <c r="E2" s="553"/>
      <c r="F2" s="553"/>
      <c r="G2" s="421"/>
      <c r="H2" s="421"/>
      <c r="I2" s="421"/>
      <c r="J2" s="4"/>
      <c r="K2" s="5"/>
      <c r="L2" s="605"/>
    </row>
    <row r="3" spans="1:15" ht="10.5" customHeight="1">
      <c r="A3" s="606"/>
      <c r="B3" s="606"/>
      <c r="C3" s="606"/>
      <c r="D3" s="606"/>
      <c r="E3" s="606"/>
      <c r="F3" s="606"/>
      <c r="G3" s="607"/>
      <c r="H3" s="607"/>
      <c r="I3" s="607"/>
      <c r="J3" s="67"/>
    </row>
    <row r="4" spans="1:15" ht="20.100000000000001" customHeight="1">
      <c r="A4" s="43"/>
      <c r="B4" s="43"/>
      <c r="C4" s="43"/>
      <c r="D4" s="43"/>
      <c r="G4" s="277"/>
      <c r="H4" s="277"/>
      <c r="I4" s="277"/>
      <c r="J4" s="8" t="s">
        <v>306</v>
      </c>
    </row>
    <row r="5" spans="1:15" ht="20.25" customHeight="1">
      <c r="A5" s="608"/>
      <c r="B5" s="609"/>
      <c r="C5" s="609"/>
      <c r="D5" s="609"/>
      <c r="E5" s="610" t="s">
        <v>85</v>
      </c>
      <c r="F5" s="611"/>
      <c r="G5" s="1347" t="s">
        <v>527</v>
      </c>
      <c r="H5" s="1347" t="s">
        <v>528</v>
      </c>
      <c r="I5" s="1206"/>
      <c r="J5" s="1345" t="s">
        <v>86</v>
      </c>
    </row>
    <row r="6" spans="1:15" ht="20.25" customHeight="1">
      <c r="A6" s="612" t="s">
        <v>405</v>
      </c>
      <c r="B6" s="613"/>
      <c r="C6" s="614"/>
      <c r="D6" s="614"/>
      <c r="E6" s="615"/>
      <c r="F6" s="616"/>
      <c r="G6" s="1348"/>
      <c r="H6" s="1348"/>
      <c r="I6" s="1208"/>
      <c r="J6" s="1346"/>
    </row>
    <row r="7" spans="1:15" ht="17.100000000000001" customHeight="1">
      <c r="A7" s="1278" t="s">
        <v>520</v>
      </c>
      <c r="B7" s="1284" t="s">
        <v>87</v>
      </c>
      <c r="C7" s="1272" t="s">
        <v>88</v>
      </c>
      <c r="D7" s="1273"/>
      <c r="E7" s="1273"/>
      <c r="F7" s="1273"/>
      <c r="G7" s="617">
        <f>인건비집계!H25</f>
        <v>56955159</v>
      </c>
      <c r="H7" s="617">
        <f t="shared" ref="H7:H27" si="0">TRUNC(G7*12)</f>
        <v>683461908</v>
      </c>
      <c r="I7" s="1209">
        <v>692320572</v>
      </c>
      <c r="J7" s="31"/>
      <c r="L7" s="317">
        <f>인건비집계!H25</f>
        <v>56955159</v>
      </c>
      <c r="M7" s="618">
        <f>G7-L7</f>
        <v>0</v>
      </c>
    </row>
    <row r="8" spans="1:15" ht="17.100000000000001" customHeight="1">
      <c r="A8" s="1279"/>
      <c r="B8" s="1285"/>
      <c r="C8" s="1287" t="s">
        <v>275</v>
      </c>
      <c r="D8" s="48"/>
      <c r="E8" s="619" t="s">
        <v>153</v>
      </c>
      <c r="F8" s="48"/>
      <c r="G8" s="620">
        <f>제수당집계!H25</f>
        <v>4364200</v>
      </c>
      <c r="H8" s="620">
        <f t="shared" si="0"/>
        <v>52370400</v>
      </c>
      <c r="I8" s="1210">
        <v>53049240</v>
      </c>
      <c r="J8" s="276"/>
    </row>
    <row r="9" spans="1:15" ht="17.100000000000001" customHeight="1">
      <c r="A9" s="1279"/>
      <c r="B9" s="1285"/>
      <c r="C9" s="1288"/>
      <c r="D9" s="48"/>
      <c r="E9" s="619" t="s">
        <v>270</v>
      </c>
      <c r="F9" s="48"/>
      <c r="G9" s="617">
        <f>제수당집계!K25</f>
        <v>0</v>
      </c>
      <c r="H9" s="617">
        <f t="shared" si="0"/>
        <v>0</v>
      </c>
      <c r="I9" s="1209">
        <v>0</v>
      </c>
      <c r="J9" s="31"/>
    </row>
    <row r="10" spans="1:15" ht="17.100000000000001" customHeight="1">
      <c r="A10" s="1279"/>
      <c r="B10" s="1285"/>
      <c r="C10" s="1288"/>
      <c r="D10" s="48"/>
      <c r="E10" s="619" t="s">
        <v>276</v>
      </c>
      <c r="F10" s="48"/>
      <c r="G10" s="617">
        <f>제수당집계!N25</f>
        <v>8906100</v>
      </c>
      <c r="H10" s="617">
        <f t="shared" si="0"/>
        <v>106873200</v>
      </c>
      <c r="I10" s="1209">
        <v>108339492</v>
      </c>
      <c r="J10" s="31"/>
    </row>
    <row r="11" spans="1:15" ht="17.100000000000001" customHeight="1">
      <c r="A11" s="1279"/>
      <c r="B11" s="1285"/>
      <c r="C11" s="1289"/>
      <c r="D11" s="48"/>
      <c r="E11" s="619" t="s">
        <v>277</v>
      </c>
      <c r="F11" s="48"/>
      <c r="G11" s="617">
        <f>SUM(G8:G10)</f>
        <v>13270300</v>
      </c>
      <c r="H11" s="617">
        <f t="shared" si="0"/>
        <v>159243600</v>
      </c>
      <c r="I11" s="617">
        <f>SUM(I8:I10)</f>
        <v>161388732</v>
      </c>
      <c r="J11" s="31"/>
      <c r="L11" s="317">
        <f>인건비집계!K25</f>
        <v>13270300</v>
      </c>
      <c r="M11" s="618">
        <f>G11-L11</f>
        <v>0</v>
      </c>
    </row>
    <row r="12" spans="1:15" ht="17.100000000000001" customHeight="1">
      <c r="A12" s="1279"/>
      <c r="B12" s="1285"/>
      <c r="C12" s="1268" t="s">
        <v>321</v>
      </c>
      <c r="D12" s="1266"/>
      <c r="E12" s="1266"/>
      <c r="F12" s="1266"/>
      <c r="G12" s="617">
        <f>인건비집계!N25</f>
        <v>18985047</v>
      </c>
      <c r="H12" s="617">
        <f t="shared" si="0"/>
        <v>227820564</v>
      </c>
      <c r="I12" s="1209">
        <v>230773464</v>
      </c>
      <c r="J12" s="266" t="str">
        <f>"기본급의 "&amp;단위당인건비!I5*100&amp;"% 적용"</f>
        <v>기본급의 400% 적용</v>
      </c>
      <c r="L12" s="317">
        <f>인건비집계!N25</f>
        <v>18985047</v>
      </c>
      <c r="M12" s="618">
        <f>G12-L12</f>
        <v>0</v>
      </c>
    </row>
    <row r="13" spans="1:15" ht="17.100000000000001" customHeight="1">
      <c r="A13" s="1279"/>
      <c r="B13" s="1285"/>
      <c r="C13" s="1268" t="s">
        <v>322</v>
      </c>
      <c r="D13" s="1266"/>
      <c r="E13" s="1266"/>
      <c r="F13" s="1266"/>
      <c r="G13" s="617">
        <f>인건비집계!Q25</f>
        <v>7434196</v>
      </c>
      <c r="H13" s="617">
        <f t="shared" si="0"/>
        <v>89210352</v>
      </c>
      <c r="I13" s="1209">
        <v>90373416</v>
      </c>
      <c r="J13" s="266" t="s">
        <v>305</v>
      </c>
      <c r="L13" s="317">
        <f>인건비집계!Q25</f>
        <v>7434196</v>
      </c>
      <c r="M13" s="618">
        <f>G13-L13</f>
        <v>0</v>
      </c>
    </row>
    <row r="14" spans="1:15" ht="17.100000000000001" customHeight="1" thickBot="1">
      <c r="A14" s="1279"/>
      <c r="B14" s="1286"/>
      <c r="C14" s="1272" t="s">
        <v>89</v>
      </c>
      <c r="D14" s="1273"/>
      <c r="E14" s="1273"/>
      <c r="F14" s="1273"/>
      <c r="G14" s="617">
        <f>SUM(G7,G11,G12,G13)</f>
        <v>96644702</v>
      </c>
      <c r="H14" s="617">
        <f t="shared" si="0"/>
        <v>1159736424</v>
      </c>
      <c r="I14" s="1209">
        <f>I7+I11+I12+I13</f>
        <v>1174856184</v>
      </c>
      <c r="J14" s="276" t="str">
        <f>인건비집계!$A$1&amp;"참조"</f>
        <v>[ 표 : 5 ] 참조</v>
      </c>
    </row>
    <row r="15" spans="1:15" ht="17.100000000000001" customHeight="1">
      <c r="A15" s="1279"/>
      <c r="B15" s="1290" t="s">
        <v>522</v>
      </c>
      <c r="C15" s="1284" t="s">
        <v>90</v>
      </c>
      <c r="D15" s="48"/>
      <c r="E15" s="621" t="s">
        <v>148</v>
      </c>
      <c r="F15" s="621"/>
      <c r="G15" s="622">
        <f>경비집계!F7</f>
        <v>802882</v>
      </c>
      <c r="H15" s="622">
        <f t="shared" si="0"/>
        <v>9634584</v>
      </c>
      <c r="I15" s="1211">
        <v>7828632</v>
      </c>
      <c r="J15" s="623" t="str">
        <f>"(기본급+제수당+상여금)×"&amp;K15&amp;"%"</f>
        <v>(기본급+제수당+상여금)×0.9%</v>
      </c>
      <c r="K15" s="624">
        <f>'고정)인적보험료'!M8</f>
        <v>0.9</v>
      </c>
      <c r="L15" s="317">
        <f>경비집계!F7</f>
        <v>802882</v>
      </c>
      <c r="M15" s="314">
        <f t="shared" ref="M15:M28" si="1">L15-G15</f>
        <v>0</v>
      </c>
      <c r="O15" s="658" t="s">
        <v>750</v>
      </c>
    </row>
    <row r="16" spans="1:15" ht="17.100000000000001" customHeight="1">
      <c r="A16" s="1279"/>
      <c r="B16" s="1288"/>
      <c r="C16" s="1291"/>
      <c r="D16" s="48"/>
      <c r="E16" s="621" t="s">
        <v>91</v>
      </c>
      <c r="F16" s="621"/>
      <c r="G16" s="622">
        <f>경비집계!F8</f>
        <v>4014456</v>
      </c>
      <c r="H16" s="622">
        <f t="shared" si="0"/>
        <v>48173472</v>
      </c>
      <c r="I16" s="1211">
        <v>39143556</v>
      </c>
      <c r="J16" s="623" t="str">
        <f>"(기본급+제수당+상여금)×"&amp;K16&amp;"%"</f>
        <v>(기본급+제수당+상여금)×4.5%</v>
      </c>
      <c r="K16" s="624">
        <f>'고정)인적보험료'!M9</f>
        <v>4.5</v>
      </c>
      <c r="L16" s="317">
        <f>경비집계!F8</f>
        <v>4014456</v>
      </c>
      <c r="M16" s="314">
        <f t="shared" si="1"/>
        <v>0</v>
      </c>
      <c r="O16" s="659">
        <f>H16*3</f>
        <v>144520416</v>
      </c>
    </row>
    <row r="17" spans="1:15" ht="17.100000000000001" customHeight="1">
      <c r="A17" s="1279"/>
      <c r="B17" s="1288"/>
      <c r="C17" s="1291"/>
      <c r="D17" s="48"/>
      <c r="E17" s="621" t="s">
        <v>92</v>
      </c>
      <c r="F17" s="621"/>
      <c r="G17" s="622">
        <f>경비집계!F9</f>
        <v>1025903</v>
      </c>
      <c r="H17" s="622">
        <f t="shared" si="0"/>
        <v>12310836</v>
      </c>
      <c r="I17" s="1211">
        <v>10003260</v>
      </c>
      <c r="J17" s="623" t="str">
        <f>"(기본급+제수당+상여금)×"&amp;K17&amp;"%"</f>
        <v>(기본급+제수당+상여금)×1.15%</v>
      </c>
      <c r="K17" s="624">
        <f>'고정)인적보험료'!M10</f>
        <v>1.1499999999999999</v>
      </c>
      <c r="L17" s="317">
        <f>경비집계!F9</f>
        <v>1025903</v>
      </c>
      <c r="M17" s="314">
        <f t="shared" si="1"/>
        <v>0</v>
      </c>
      <c r="O17" s="659"/>
    </row>
    <row r="18" spans="1:15" ht="17.100000000000001" customHeight="1">
      <c r="A18" s="1279"/>
      <c r="B18" s="1288"/>
      <c r="C18" s="1291"/>
      <c r="D18" s="48"/>
      <c r="E18" s="621" t="s">
        <v>93</v>
      </c>
      <c r="F18" s="621"/>
      <c r="G18" s="622">
        <f>경비집계!F10</f>
        <v>3162501</v>
      </c>
      <c r="H18" s="622">
        <f t="shared" si="0"/>
        <v>37950012</v>
      </c>
      <c r="I18" s="1211">
        <v>30836436</v>
      </c>
      <c r="J18" s="623" t="str">
        <f>"(기본급+제수당+상여금)×"&amp;K18&amp;"%"</f>
        <v>(기본급+제수당+상여금)×3.545%</v>
      </c>
      <c r="K18" s="624">
        <f>'고정)인적보험료'!M11</f>
        <v>3.5449999999999999</v>
      </c>
      <c r="L18" s="317">
        <f>경비집계!F10</f>
        <v>3162501</v>
      </c>
      <c r="M18" s="314">
        <f t="shared" si="1"/>
        <v>0</v>
      </c>
      <c r="O18" s="659">
        <f>H18*3</f>
        <v>113850036</v>
      </c>
    </row>
    <row r="19" spans="1:15" ht="17.100000000000001" customHeight="1" thickBot="1">
      <c r="A19" s="1279"/>
      <c r="B19" s="1288"/>
      <c r="C19" s="1291"/>
      <c r="D19" s="48"/>
      <c r="E19" s="621" t="s">
        <v>210</v>
      </c>
      <c r="F19" s="621"/>
      <c r="G19" s="622">
        <f>경비집계!F11</f>
        <v>405109</v>
      </c>
      <c r="H19" s="622">
        <f t="shared" si="0"/>
        <v>4861308</v>
      </c>
      <c r="I19" s="1211">
        <v>3950064</v>
      </c>
      <c r="J19" s="623" t="str">
        <f>"건강보험료×"&amp;K19&amp;"%"</f>
        <v>건강보험료×12.81%</v>
      </c>
      <c r="K19" s="624">
        <f>'고정)인적보험료'!M12</f>
        <v>12.81</v>
      </c>
      <c r="L19" s="317">
        <f>경비집계!F11</f>
        <v>405109</v>
      </c>
      <c r="M19" s="314">
        <f t="shared" si="1"/>
        <v>0</v>
      </c>
      <c r="O19" s="660">
        <f>H19*3</f>
        <v>14583924</v>
      </c>
    </row>
    <row r="20" spans="1:15" ht="17.100000000000001" customHeight="1">
      <c r="A20" s="1279"/>
      <c r="B20" s="1288"/>
      <c r="C20" s="1291"/>
      <c r="D20" s="48"/>
      <c r="E20" s="621" t="s">
        <v>94</v>
      </c>
      <c r="F20" s="621"/>
      <c r="G20" s="622">
        <f>경비집계!F12</f>
        <v>53511</v>
      </c>
      <c r="H20" s="622">
        <f t="shared" si="0"/>
        <v>642132</v>
      </c>
      <c r="I20" s="1211">
        <v>521808</v>
      </c>
      <c r="J20" s="623" t="str">
        <f>"(기본급+제수당+상여금)×"&amp;K20&amp;"%"</f>
        <v>(기본급+제수당+상여금)×0.06%</v>
      </c>
      <c r="K20" s="624">
        <f>'고정)인적보험료'!M13</f>
        <v>0.06</v>
      </c>
      <c r="L20" s="317">
        <f>경비집계!F12</f>
        <v>53511</v>
      </c>
      <c r="M20" s="314">
        <f t="shared" si="1"/>
        <v>0</v>
      </c>
    </row>
    <row r="21" spans="1:15" ht="17.100000000000001" customHeight="1">
      <c r="A21" s="1279"/>
      <c r="B21" s="1288"/>
      <c r="C21" s="1291"/>
      <c r="D21" s="48"/>
      <c r="E21" s="621" t="s">
        <v>634</v>
      </c>
      <c r="F21" s="621"/>
      <c r="G21" s="622">
        <f>경비집계!F13</f>
        <v>3554</v>
      </c>
      <c r="H21" s="622">
        <f t="shared" si="0"/>
        <v>42648</v>
      </c>
      <c r="I21" s="1211">
        <v>34692</v>
      </c>
      <c r="J21" s="623" t="str">
        <f>"(기본급+제수당+상여금)×"&amp;K21&amp;"%"</f>
        <v>(기본급+제수당+상여금)×0.004%</v>
      </c>
      <c r="K21" s="624">
        <f>'고정)인적보험료'!M14</f>
        <v>4.0000000000000001E-3</v>
      </c>
      <c r="L21" s="317">
        <f>경비집계!F13</f>
        <v>3554</v>
      </c>
      <c r="M21" s="314">
        <f t="shared" si="1"/>
        <v>0</v>
      </c>
    </row>
    <row r="22" spans="1:15" ht="17.100000000000001" customHeight="1">
      <c r="A22" s="1279"/>
      <c r="B22" s="1288"/>
      <c r="C22" s="1269" t="s">
        <v>176</v>
      </c>
      <c r="D22" s="1270"/>
      <c r="E22" s="1270"/>
      <c r="F22" s="1270"/>
      <c r="G22" s="622">
        <f>경비집계!F15</f>
        <v>4869242</v>
      </c>
      <c r="H22" s="622">
        <f t="shared" si="0"/>
        <v>58430904</v>
      </c>
      <c r="I22" s="1211">
        <v>58430904</v>
      </c>
      <c r="J22" s="625"/>
      <c r="L22" s="317">
        <f>경비집계!F15</f>
        <v>4869242</v>
      </c>
      <c r="M22" s="314">
        <f t="shared" si="1"/>
        <v>0</v>
      </c>
    </row>
    <row r="23" spans="1:15" ht="17.100000000000001" customHeight="1">
      <c r="A23" s="1279"/>
      <c r="B23" s="1288"/>
      <c r="C23" s="1269" t="s">
        <v>542</v>
      </c>
      <c r="D23" s="1270"/>
      <c r="E23" s="1270"/>
      <c r="F23" s="1270"/>
      <c r="G23" s="622">
        <f>경비집계!F16</f>
        <v>1797591.4571999998</v>
      </c>
      <c r="H23" s="622">
        <f t="shared" si="0"/>
        <v>21571097</v>
      </c>
      <c r="I23" s="1211">
        <v>13355725</v>
      </c>
      <c r="J23" s="625"/>
      <c r="L23" s="317">
        <f>경비집계!F16</f>
        <v>1797591.4571999998</v>
      </c>
      <c r="M23" s="314">
        <f t="shared" si="1"/>
        <v>0</v>
      </c>
    </row>
    <row r="24" spans="1:15" ht="17.100000000000001" customHeight="1">
      <c r="A24" s="1279"/>
      <c r="B24" s="1288"/>
      <c r="C24" s="1269" t="s">
        <v>543</v>
      </c>
      <c r="D24" s="1270"/>
      <c r="E24" s="1270"/>
      <c r="F24" s="1270"/>
      <c r="G24" s="622">
        <f>경비집계!F17</f>
        <v>167397</v>
      </c>
      <c r="H24" s="622">
        <f t="shared" si="0"/>
        <v>2008764</v>
      </c>
      <c r="I24" s="1211">
        <v>2008764</v>
      </c>
      <c r="J24" s="625"/>
      <c r="L24" s="317">
        <f>경비집계!F17</f>
        <v>167397</v>
      </c>
      <c r="M24" s="314">
        <f t="shared" si="1"/>
        <v>0</v>
      </c>
    </row>
    <row r="25" spans="1:15" ht="17.100000000000001" customHeight="1">
      <c r="A25" s="1279"/>
      <c r="B25" s="1288"/>
      <c r="C25" s="1269" t="s">
        <v>544</v>
      </c>
      <c r="D25" s="1270"/>
      <c r="E25" s="1270"/>
      <c r="F25" s="1270"/>
      <c r="G25" s="622">
        <f>경비집계!F18</f>
        <v>627434</v>
      </c>
      <c r="H25" s="622">
        <f t="shared" si="0"/>
        <v>7529208</v>
      </c>
      <c r="I25" s="1211">
        <v>7529208</v>
      </c>
      <c r="J25" s="625"/>
      <c r="L25" s="317">
        <f>경비집계!F18</f>
        <v>627434</v>
      </c>
      <c r="M25" s="314">
        <f t="shared" si="1"/>
        <v>0</v>
      </c>
    </row>
    <row r="26" spans="1:15" ht="17.100000000000001" customHeight="1">
      <c r="A26" s="1279"/>
      <c r="B26" s="1288"/>
      <c r="C26" s="1269" t="s">
        <v>548</v>
      </c>
      <c r="D26" s="1270"/>
      <c r="E26" s="1270"/>
      <c r="F26" s="1270"/>
      <c r="G26" s="622">
        <f>경비집계!F19</f>
        <v>95661</v>
      </c>
      <c r="H26" s="622">
        <f t="shared" si="0"/>
        <v>1147932</v>
      </c>
      <c r="I26" s="1211">
        <v>1147932</v>
      </c>
      <c r="J26" s="625"/>
      <c r="L26" s="317">
        <f>경비집계!F19</f>
        <v>95661</v>
      </c>
      <c r="M26" s="314">
        <f t="shared" si="1"/>
        <v>0</v>
      </c>
    </row>
    <row r="27" spans="1:15" ht="17.100000000000001" customHeight="1">
      <c r="A27" s="1279"/>
      <c r="B27" s="1288"/>
      <c r="C27" s="1269" t="s">
        <v>545</v>
      </c>
      <c r="D27" s="1270"/>
      <c r="E27" s="1270"/>
      <c r="F27" s="1270"/>
      <c r="G27" s="622">
        <f>경비집계!F20</f>
        <v>173066</v>
      </c>
      <c r="H27" s="622">
        <f t="shared" si="0"/>
        <v>2076792</v>
      </c>
      <c r="I27" s="1211">
        <v>2076792</v>
      </c>
      <c r="J27" s="625"/>
      <c r="L27" s="317">
        <f>경비집계!F20</f>
        <v>173066</v>
      </c>
      <c r="M27" s="314">
        <f t="shared" si="1"/>
        <v>0</v>
      </c>
    </row>
    <row r="28" spans="1:15" ht="17.100000000000001" customHeight="1">
      <c r="A28" s="1279"/>
      <c r="B28" s="1289"/>
      <c r="C28" s="1272" t="s">
        <v>89</v>
      </c>
      <c r="D28" s="1273"/>
      <c r="E28" s="1273"/>
      <c r="F28" s="1273"/>
      <c r="G28" s="622">
        <f>SUM(G15:G27)</f>
        <v>17198307.457199998</v>
      </c>
      <c r="H28" s="622">
        <f>SUM(H15:H27)</f>
        <v>206379689</v>
      </c>
      <c r="I28" s="1211">
        <f>SUM(I15:I27)</f>
        <v>176867773</v>
      </c>
      <c r="J28" s="625" t="str">
        <f>경비집계!$A$1&amp;"참조"</f>
        <v>[ 표 : 16 ] 참조</v>
      </c>
      <c r="L28" s="317">
        <f>경비집계!F22</f>
        <v>17198307.457199998</v>
      </c>
      <c r="M28" s="314">
        <f t="shared" si="1"/>
        <v>0</v>
      </c>
    </row>
    <row r="29" spans="1:15" ht="17.100000000000001" customHeight="1">
      <c r="A29" s="1279"/>
      <c r="B29" s="1268" t="s">
        <v>347</v>
      </c>
      <c r="C29" s="1266"/>
      <c r="D29" s="1266"/>
      <c r="E29" s="1266"/>
      <c r="F29" s="1267"/>
      <c r="G29" s="622">
        <f>SUM(G14,G28)</f>
        <v>113843009.45719999</v>
      </c>
      <c r="H29" s="622">
        <f t="shared" ref="H29:H34" si="2">TRUNC(G29*12)</f>
        <v>1366116113</v>
      </c>
      <c r="I29" s="1211">
        <f>I14+I28</f>
        <v>1351723957</v>
      </c>
      <c r="J29" s="625" t="s">
        <v>406</v>
      </c>
    </row>
    <row r="30" spans="1:15" ht="17.100000000000001" customHeight="1">
      <c r="A30" s="1279"/>
      <c r="B30" s="1268" t="str">
        <f>"일반관리비("&amp;K30&amp;"%)"</f>
        <v>일반관리비(9%)</v>
      </c>
      <c r="C30" s="1266"/>
      <c r="D30" s="1266"/>
      <c r="E30" s="1266"/>
      <c r="F30" s="1267"/>
      <c r="G30" s="622">
        <f>TRUNC(G29*$K$30%,0)</f>
        <v>10245870</v>
      </c>
      <c r="H30" s="622">
        <f t="shared" si="2"/>
        <v>122950440</v>
      </c>
      <c r="I30" s="1211">
        <f>I29*0.09</f>
        <v>121655156.13</v>
      </c>
      <c r="J30" s="623" t="str">
        <f>"순용역원가×"&amp;K30&amp;"%"</f>
        <v>순용역원가×9%</v>
      </c>
      <c r="K30" s="12">
        <v>9</v>
      </c>
      <c r="L30" s="317">
        <f>일반관리비!F10</f>
        <v>10245870</v>
      </c>
      <c r="M30" s="314">
        <f>L30-G30</f>
        <v>0</v>
      </c>
    </row>
    <row r="31" spans="1:15" ht="17.100000000000001" customHeight="1">
      <c r="A31" s="1279"/>
      <c r="B31" s="1268" t="str">
        <f>"이윤("&amp;K31&amp;"%)"</f>
        <v>이윤(10%)</v>
      </c>
      <c r="C31" s="1266"/>
      <c r="D31" s="1266"/>
      <c r="E31" s="1266"/>
      <c r="F31" s="1267"/>
      <c r="G31" s="622">
        <f>TRUNC((SUM(G14,G28,G30))*$K$31%,0)</f>
        <v>12408887</v>
      </c>
      <c r="H31" s="622">
        <f t="shared" si="2"/>
        <v>148906644</v>
      </c>
      <c r="I31" s="1211">
        <f>(I14+I28+I30)*0.1</f>
        <v>147337911.31300002</v>
      </c>
      <c r="J31" s="623" t="str">
        <f>"(순용역원가+일반관리비)×"&amp;K31&amp;"%"</f>
        <v>(순용역원가+일반관리비)×10%</v>
      </c>
      <c r="K31" s="12">
        <f>용역원가집계!H5</f>
        <v>10</v>
      </c>
      <c r="L31" s="317">
        <f>이윤!G10</f>
        <v>12408887</v>
      </c>
      <c r="M31" s="314">
        <f>L31-G31</f>
        <v>0</v>
      </c>
    </row>
    <row r="32" spans="1:15" ht="17.100000000000001" customHeight="1">
      <c r="A32" s="1279"/>
      <c r="B32" s="1268" t="s">
        <v>348</v>
      </c>
      <c r="C32" s="1266"/>
      <c r="D32" s="1266"/>
      <c r="E32" s="1266"/>
      <c r="F32" s="1267"/>
      <c r="G32" s="622">
        <f>SUM(G29:G31)</f>
        <v>136497766.45719999</v>
      </c>
      <c r="H32" s="622">
        <f t="shared" si="2"/>
        <v>1637973197</v>
      </c>
      <c r="I32" s="1211">
        <f>SUM(I29:I31)</f>
        <v>1620717024.4430001</v>
      </c>
      <c r="J32" s="625" t="s">
        <v>272</v>
      </c>
    </row>
    <row r="33" spans="1:17" ht="17.100000000000001" customHeight="1">
      <c r="A33" s="1279"/>
      <c r="B33" s="1268" t="s">
        <v>349</v>
      </c>
      <c r="C33" s="1266"/>
      <c r="D33" s="1266"/>
      <c r="E33" s="1266"/>
      <c r="F33" s="1267"/>
      <c r="G33" s="622">
        <f>TRUNC((G32)*10%,0)</f>
        <v>13649776</v>
      </c>
      <c r="H33" s="622">
        <f t="shared" si="2"/>
        <v>163797312</v>
      </c>
      <c r="I33" s="1211">
        <f>I32*0.1</f>
        <v>162071702.44430003</v>
      </c>
      <c r="J33" s="625" t="s">
        <v>525</v>
      </c>
    </row>
    <row r="34" spans="1:17" ht="17.100000000000001" customHeight="1">
      <c r="A34" s="1280"/>
      <c r="B34" s="1268" t="s">
        <v>519</v>
      </c>
      <c r="C34" s="1266"/>
      <c r="D34" s="1266"/>
      <c r="E34" s="1266"/>
      <c r="F34" s="1267"/>
      <c r="G34" s="622">
        <f>SUM(G32:G33)</f>
        <v>150147542.45719999</v>
      </c>
      <c r="H34" s="622">
        <f t="shared" si="2"/>
        <v>1801770509</v>
      </c>
      <c r="I34" s="1211">
        <v>1782788713</v>
      </c>
      <c r="J34" s="625" t="s">
        <v>273</v>
      </c>
      <c r="O34" s="618">
        <f>H34*3</f>
        <v>5405311527</v>
      </c>
      <c r="Q34" s="39"/>
    </row>
    <row r="35" spans="1:17" ht="17.100000000000001" customHeight="1">
      <c r="A35" s="1278" t="s">
        <v>521</v>
      </c>
      <c r="B35" s="1281" t="s">
        <v>547</v>
      </c>
      <c r="C35" s="1269" t="s">
        <v>535</v>
      </c>
      <c r="D35" s="1270"/>
      <c r="E35" s="1270"/>
      <c r="F35" s="1270"/>
      <c r="G35" s="622">
        <f>경비집계!F23</f>
        <v>2250000</v>
      </c>
      <c r="H35" s="622">
        <f>'변동)소모자재비'!H13</f>
        <v>27000000</v>
      </c>
      <c r="I35" s="1211">
        <v>27000000</v>
      </c>
      <c r="J35" s="625"/>
      <c r="L35" s="317">
        <f>경비집계!F23</f>
        <v>2250000</v>
      </c>
      <c r="M35" s="314">
        <f t="shared" ref="M35:M42" si="3">L35-G35</f>
        <v>0</v>
      </c>
    </row>
    <row r="36" spans="1:17" ht="17.100000000000001" customHeight="1">
      <c r="A36" s="1279"/>
      <c r="B36" s="1282"/>
      <c r="C36" s="1269" t="s">
        <v>577</v>
      </c>
      <c r="D36" s="1270"/>
      <c r="E36" s="1270"/>
      <c r="F36" s="1270"/>
      <c r="G36" s="622">
        <f>경비집계!F24</f>
        <v>52986666</v>
      </c>
      <c r="H36" s="622">
        <f>'변동)수선유지비'!H30</f>
        <v>635840000</v>
      </c>
      <c r="I36" s="1211">
        <v>635840000</v>
      </c>
      <c r="J36" s="625"/>
      <c r="L36" s="317">
        <f>경비집계!F24</f>
        <v>52986666</v>
      </c>
      <c r="M36" s="314">
        <f t="shared" si="3"/>
        <v>0</v>
      </c>
    </row>
    <row r="37" spans="1:17" ht="17.100000000000001" customHeight="1">
      <c r="A37" s="1279"/>
      <c r="B37" s="1282"/>
      <c r="C37" s="1269" t="s">
        <v>536</v>
      </c>
      <c r="D37" s="1270"/>
      <c r="E37" s="1270"/>
      <c r="F37" s="1270"/>
      <c r="G37" s="622">
        <f>경비집계!F25</f>
        <v>150263</v>
      </c>
      <c r="H37" s="622">
        <f>'변동)측정검사수수료'!H12</f>
        <v>1803166</v>
      </c>
      <c r="I37" s="1211">
        <v>1803166</v>
      </c>
      <c r="J37" s="625"/>
      <c r="L37" s="317">
        <f>경비집계!F25</f>
        <v>150263</v>
      </c>
      <c r="M37" s="314">
        <f t="shared" si="3"/>
        <v>0</v>
      </c>
    </row>
    <row r="38" spans="1:17" ht="17.100000000000001" customHeight="1">
      <c r="A38" s="1279"/>
      <c r="B38" s="1282"/>
      <c r="C38" s="1269" t="s">
        <v>656</v>
      </c>
      <c r="D38" s="1270"/>
      <c r="E38" s="1270"/>
      <c r="F38" s="1270"/>
      <c r="G38" s="622">
        <f>경비집계!F26</f>
        <v>2440000</v>
      </c>
      <c r="H38" s="622">
        <f>'변동)안전점검대행비'!H14</f>
        <v>29280000</v>
      </c>
      <c r="I38" s="1211">
        <v>29280000</v>
      </c>
      <c r="J38" s="625"/>
      <c r="L38" s="317">
        <f>경비집계!F26</f>
        <v>2440000</v>
      </c>
      <c r="M38" s="314">
        <f t="shared" si="3"/>
        <v>0</v>
      </c>
    </row>
    <row r="39" spans="1:17" ht="17.100000000000001" customHeight="1">
      <c r="A39" s="1279"/>
      <c r="B39" s="1282"/>
      <c r="C39" s="1269" t="s">
        <v>537</v>
      </c>
      <c r="D39" s="1270"/>
      <c r="E39" s="1270"/>
      <c r="F39" s="1270"/>
      <c r="G39" s="622">
        <f>경비집계!F27</f>
        <v>4939000</v>
      </c>
      <c r="H39" s="622">
        <f>'변동)차량유지비'!H15</f>
        <v>59268000</v>
      </c>
      <c r="I39" s="1211">
        <v>59268000</v>
      </c>
      <c r="J39" s="625"/>
      <c r="L39" s="317">
        <f>경비집계!F27</f>
        <v>4939000</v>
      </c>
      <c r="M39" s="314">
        <f t="shared" si="3"/>
        <v>0</v>
      </c>
    </row>
    <row r="40" spans="1:17" ht="17.100000000000001" customHeight="1">
      <c r="A40" s="1279"/>
      <c r="B40" s="1282"/>
      <c r="C40" s="1269" t="s">
        <v>538</v>
      </c>
      <c r="D40" s="1270"/>
      <c r="E40" s="1270"/>
      <c r="F40" s="1270"/>
      <c r="G40" s="622">
        <f>경비집계!F28</f>
        <v>520000</v>
      </c>
      <c r="H40" s="622">
        <f>'변동)보안관리비'!H11</f>
        <v>6240000</v>
      </c>
      <c r="I40" s="1211">
        <v>6240000</v>
      </c>
      <c r="J40" s="625"/>
      <c r="L40" s="317">
        <f>경비집계!F28</f>
        <v>520000</v>
      </c>
      <c r="M40" s="314">
        <f t="shared" si="3"/>
        <v>0</v>
      </c>
    </row>
    <row r="41" spans="1:17" s="275" customFormat="1" ht="17.100000000000001" customHeight="1">
      <c r="A41" s="1279"/>
      <c r="B41" s="1282"/>
      <c r="C41" s="1269" t="s">
        <v>744</v>
      </c>
      <c r="D41" s="1270"/>
      <c r="E41" s="1270"/>
      <c r="F41" s="1270"/>
      <c r="G41" s="622">
        <f>경비집계!F29</f>
        <v>5808711.0084666656</v>
      </c>
      <c r="H41" s="622">
        <f>'변동)수집운반비'!E12</f>
        <v>69704532.101599991</v>
      </c>
      <c r="I41" s="1211">
        <v>69704532.101599991</v>
      </c>
      <c r="J41" s="1207" t="s">
        <v>1358</v>
      </c>
      <c r="L41" s="626">
        <f>경비집계!F29</f>
        <v>5808711.0084666656</v>
      </c>
      <c r="M41" s="627">
        <f t="shared" si="3"/>
        <v>0</v>
      </c>
    </row>
    <row r="42" spans="1:17" ht="17.100000000000001" customHeight="1">
      <c r="A42" s="1279"/>
      <c r="B42" s="1282"/>
      <c r="C42" s="1272" t="s">
        <v>89</v>
      </c>
      <c r="D42" s="1273"/>
      <c r="E42" s="1273"/>
      <c r="F42" s="1274"/>
      <c r="G42" s="622">
        <f>SUM(G35:G41)</f>
        <v>69094640.008466661</v>
      </c>
      <c r="H42" s="622">
        <f>TRUNC(G42*12)</f>
        <v>829135680</v>
      </c>
      <c r="I42" s="1211">
        <f>SUM(I35:I41)</f>
        <v>829135698.10159993</v>
      </c>
      <c r="J42" s="625" t="str">
        <f>경비집계!$A$1&amp;"참조"</f>
        <v>[ 표 : 16 ] 참조</v>
      </c>
      <c r="L42" s="317">
        <f>경비집계!F30</f>
        <v>69094640.008466661</v>
      </c>
      <c r="M42" s="314">
        <f t="shared" si="3"/>
        <v>0</v>
      </c>
    </row>
    <row r="43" spans="1:17" ht="17.100000000000001" customHeight="1">
      <c r="A43" s="1279"/>
      <c r="B43" s="1282"/>
      <c r="C43" s="1268" t="s">
        <v>526</v>
      </c>
      <c r="D43" s="1266"/>
      <c r="E43" s="1266"/>
      <c r="F43" s="1267"/>
      <c r="G43" s="622">
        <f>SUM(G42)</f>
        <v>69094640.008466661</v>
      </c>
      <c r="H43" s="622">
        <f>TRUNC(G43*12)</f>
        <v>829135680</v>
      </c>
      <c r="I43" s="1211">
        <v>829135680</v>
      </c>
      <c r="J43" s="625" t="s">
        <v>523</v>
      </c>
    </row>
    <row r="44" spans="1:17" ht="17.100000000000001" customHeight="1">
      <c r="A44" s="1279"/>
      <c r="B44" s="1282"/>
      <c r="C44" s="1268" t="s">
        <v>349</v>
      </c>
      <c r="D44" s="1266"/>
      <c r="E44" s="1266"/>
      <c r="F44" s="1267"/>
      <c r="G44" s="622">
        <f>TRUNC(G43*10%,0)</f>
        <v>6909464</v>
      </c>
      <c r="H44" s="622">
        <f>TRUNC(H43*10%,0)</f>
        <v>82913568</v>
      </c>
      <c r="I44" s="1211">
        <v>75943104</v>
      </c>
      <c r="J44" s="625" t="s">
        <v>525</v>
      </c>
    </row>
    <row r="45" spans="1:17" ht="17.100000000000001" customHeight="1">
      <c r="A45" s="1279"/>
      <c r="B45" s="1283"/>
      <c r="C45" s="1268" t="s">
        <v>546</v>
      </c>
      <c r="D45" s="1266"/>
      <c r="E45" s="1266"/>
      <c r="F45" s="1267"/>
      <c r="G45" s="622">
        <f>SUM(G43:G44)</f>
        <v>76004104.008466661</v>
      </c>
      <c r="H45" s="622">
        <f>TRUNC(G45*12)</f>
        <v>912049248</v>
      </c>
      <c r="I45" s="1211">
        <f>SUM(I43:I44)</f>
        <v>905078784</v>
      </c>
      <c r="J45" s="625" t="s">
        <v>273</v>
      </c>
    </row>
    <row r="46" spans="1:17" ht="17.100000000000001" customHeight="1">
      <c r="A46" s="1279"/>
      <c r="B46" s="1275" t="s">
        <v>551</v>
      </c>
      <c r="C46" s="1269" t="s">
        <v>539</v>
      </c>
      <c r="D46" s="1270"/>
      <c r="E46" s="1270"/>
      <c r="F46" s="1270"/>
      <c r="G46" s="617">
        <f>경비집계!F31</f>
        <v>134915602</v>
      </c>
      <c r="H46" s="617">
        <f>'변동-대)전력비'!H14</f>
        <v>1618987235</v>
      </c>
      <c r="I46" s="1209">
        <v>1545672408</v>
      </c>
      <c r="J46" s="276"/>
      <c r="L46" s="317">
        <f>경비집계!F31</f>
        <v>134915602</v>
      </c>
      <c r="M46" s="314">
        <f>L46-G46</f>
        <v>0</v>
      </c>
    </row>
    <row r="47" spans="1:17" ht="17.100000000000001" customHeight="1">
      <c r="A47" s="1279"/>
      <c r="B47" s="1276"/>
      <c r="C47" s="1269" t="s">
        <v>540</v>
      </c>
      <c r="D47" s="1270"/>
      <c r="E47" s="1270"/>
      <c r="F47" s="1270"/>
      <c r="G47" s="617">
        <f>경비집계!F32</f>
        <v>3641717</v>
      </c>
      <c r="H47" s="617">
        <f>'변동-대)수도광열비'!H17</f>
        <v>43700610</v>
      </c>
      <c r="I47" s="1209">
        <v>43700610</v>
      </c>
      <c r="J47" s="276"/>
      <c r="L47" s="317">
        <f>경비집계!F32</f>
        <v>3641717</v>
      </c>
      <c r="M47" s="314">
        <f>L47-G47</f>
        <v>0</v>
      </c>
    </row>
    <row r="48" spans="1:17" ht="17.100000000000001" customHeight="1">
      <c r="A48" s="1279"/>
      <c r="B48" s="1276"/>
      <c r="C48" s="1269" t="s">
        <v>541</v>
      </c>
      <c r="D48" s="1270"/>
      <c r="E48" s="1270"/>
      <c r="F48" s="1270"/>
      <c r="G48" s="617">
        <f>경비집계!F33</f>
        <v>5832292</v>
      </c>
      <c r="H48" s="617">
        <f>'변동-대)시설물보험료'!H17</f>
        <v>69987500</v>
      </c>
      <c r="I48" s="1209">
        <v>69987500</v>
      </c>
      <c r="J48" s="276"/>
      <c r="K48" s="12" t="s">
        <v>559</v>
      </c>
      <c r="L48" s="317">
        <f>경비집계!F33</f>
        <v>5832292</v>
      </c>
      <c r="M48" s="314">
        <f>L48-G48</f>
        <v>0</v>
      </c>
    </row>
    <row r="49" spans="1:17" ht="17.100000000000001" customHeight="1">
      <c r="A49" s="1279"/>
      <c r="B49" s="1277"/>
      <c r="C49" s="1269" t="s">
        <v>546</v>
      </c>
      <c r="D49" s="1270"/>
      <c r="E49" s="1270"/>
      <c r="F49" s="1270"/>
      <c r="G49" s="617">
        <f>SUM(G46:G48)</f>
        <v>144389611</v>
      </c>
      <c r="H49" s="617">
        <f>TRUNC(G49*12)</f>
        <v>1732675332</v>
      </c>
      <c r="I49" s="1209">
        <f>SUM(I46:I48)</f>
        <v>1659360518</v>
      </c>
      <c r="J49" s="276" t="str">
        <f>경비집계!$A$1&amp;"참조"</f>
        <v>[ 표 : 16 ] 참조</v>
      </c>
      <c r="L49" s="317">
        <f>SUM(L46:L48)</f>
        <v>144389611</v>
      </c>
      <c r="M49" s="314">
        <f>L49-G49</f>
        <v>0</v>
      </c>
    </row>
    <row r="50" spans="1:17" ht="17.100000000000001" customHeight="1">
      <c r="A50" s="1280"/>
      <c r="B50" s="1266" t="s">
        <v>524</v>
      </c>
      <c r="C50" s="1266"/>
      <c r="D50" s="1266"/>
      <c r="E50" s="1266"/>
      <c r="F50" s="1267"/>
      <c r="G50" s="617">
        <f>SUM(G45,G49)</f>
        <v>220393715.00846666</v>
      </c>
      <c r="H50" s="617">
        <f>TRUNC(G50*12)</f>
        <v>2644724580</v>
      </c>
      <c r="I50" s="1209">
        <f>I45+I49</f>
        <v>2564439302</v>
      </c>
      <c r="J50" s="276" t="s">
        <v>552</v>
      </c>
      <c r="M50" s="314"/>
      <c r="O50" s="618">
        <f>H50*3</f>
        <v>7934173740</v>
      </c>
      <c r="Q50" s="39"/>
    </row>
    <row r="51" spans="1:17" ht="17.100000000000001" customHeight="1">
      <c r="A51" s="1268" t="s">
        <v>529</v>
      </c>
      <c r="B51" s="1266"/>
      <c r="C51" s="1266"/>
      <c r="D51" s="1266"/>
      <c r="E51" s="1266"/>
      <c r="F51" s="1267"/>
      <c r="G51" s="617">
        <f>TRUNC(SUM(G50,G34),-3)</f>
        <v>370541000</v>
      </c>
      <c r="H51" s="617">
        <f>TRUNC(H34+H50,-3)</f>
        <v>4446495000</v>
      </c>
      <c r="I51" s="1209">
        <v>4347228000</v>
      </c>
      <c r="J51" s="276" t="s">
        <v>530</v>
      </c>
      <c r="O51" s="618">
        <f>H51*3</f>
        <v>13339485000</v>
      </c>
    </row>
  </sheetData>
  <mergeCells count="45">
    <mergeCell ref="C25:F25"/>
    <mergeCell ref="C26:F26"/>
    <mergeCell ref="J5:J6"/>
    <mergeCell ref="C14:F14"/>
    <mergeCell ref="C8:C11"/>
    <mergeCell ref="G5:G6"/>
    <mergeCell ref="H5:H6"/>
    <mergeCell ref="C13:F13"/>
    <mergeCell ref="A7:A34"/>
    <mergeCell ref="C40:F40"/>
    <mergeCell ref="B7:B14"/>
    <mergeCell ref="B15:B28"/>
    <mergeCell ref="B29:F29"/>
    <mergeCell ref="B30:F30"/>
    <mergeCell ref="B31:F31"/>
    <mergeCell ref="B32:F32"/>
    <mergeCell ref="C7:F7"/>
    <mergeCell ref="C22:F22"/>
    <mergeCell ref="C12:F12"/>
    <mergeCell ref="C15:C21"/>
    <mergeCell ref="C23:F23"/>
    <mergeCell ref="C24:F24"/>
    <mergeCell ref="C27:F27"/>
    <mergeCell ref="C28:F28"/>
    <mergeCell ref="C42:F42"/>
    <mergeCell ref="C41:F41"/>
    <mergeCell ref="C44:F44"/>
    <mergeCell ref="B33:F33"/>
    <mergeCell ref="B34:F34"/>
    <mergeCell ref="A51:F51"/>
    <mergeCell ref="C46:F46"/>
    <mergeCell ref="C47:F47"/>
    <mergeCell ref="C48:F48"/>
    <mergeCell ref="C49:F49"/>
    <mergeCell ref="B46:B49"/>
    <mergeCell ref="A35:A50"/>
    <mergeCell ref="B50:F50"/>
    <mergeCell ref="B35:B45"/>
    <mergeCell ref="C45:F45"/>
    <mergeCell ref="C43:F43"/>
    <mergeCell ref="C35:F35"/>
    <mergeCell ref="C36:F36"/>
    <mergeCell ref="C37:F37"/>
    <mergeCell ref="C38:F38"/>
    <mergeCell ref="C39:F39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9" firstPageNumber="141" orientation="portrait" r:id="rId1"/>
  <headerFooter alignWithMargins="0">
    <oddFooter>&amp;C&amp;"바탕체,보통"&amp;12- &amp;P -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"/>
  <sheetViews>
    <sheetView view="pageBreakPreview" topLeftCell="A21" zoomScaleNormal="80" zoomScaleSheetLayoutView="100" workbookViewId="0">
      <selection activeCell="G47" sqref="G47"/>
    </sheetView>
  </sheetViews>
  <sheetFormatPr defaultRowHeight="12"/>
  <cols>
    <col min="1" max="3" width="3.77734375" style="34" customWidth="1"/>
    <col min="4" max="4" width="1.109375" style="34" customWidth="1"/>
    <col min="5" max="5" width="16" style="34" customWidth="1"/>
    <col min="6" max="6" width="1.109375" style="34" customWidth="1"/>
    <col min="7" max="8" width="17.88671875" style="58" customWidth="1"/>
    <col min="9" max="9" width="30.44140625" style="12" customWidth="1"/>
    <col min="10" max="10" width="8.88671875" style="12" hidden="1" customWidth="1"/>
    <col min="11" max="11" width="15.109375" style="317" hidden="1" customWidth="1"/>
    <col min="12" max="12" width="11.33203125" style="34" hidden="1" customWidth="1"/>
    <col min="13" max="13" width="8.88671875" style="34" hidden="1" customWidth="1"/>
    <col min="14" max="14" width="12.88671875" style="34" hidden="1" customWidth="1"/>
    <col min="15" max="15" width="8.88671875" style="34"/>
    <col min="16" max="16" width="12.21875" style="34" bestFit="1" customWidth="1"/>
    <col min="17" max="16384" width="8.88671875" style="34"/>
  </cols>
  <sheetData>
    <row r="1" spans="1:14" ht="20.100000000000001" customHeight="1">
      <c r="A1" s="1" t="str">
        <f>"[ 표 : "&amp;J1&amp;" ] "</f>
        <v xml:space="preserve">[ 표 : 3 ] </v>
      </c>
      <c r="B1" s="1"/>
      <c r="C1" s="1"/>
      <c r="D1" s="1"/>
      <c r="E1" s="1"/>
      <c r="F1" s="1"/>
      <c r="G1" s="589"/>
      <c r="H1" s="589"/>
      <c r="I1" s="589"/>
      <c r="J1" s="589">
        <f>'용역원가(24년)'!K1+1</f>
        <v>3</v>
      </c>
    </row>
    <row r="2" spans="1:14" s="36" customFormat="1" ht="26.25" customHeight="1">
      <c r="A2" s="35" t="s">
        <v>1349</v>
      </c>
      <c r="B2" s="35"/>
      <c r="C2" s="553"/>
      <c r="D2" s="553"/>
      <c r="E2" s="553"/>
      <c r="F2" s="553"/>
      <c r="G2" s="421"/>
      <c r="H2" s="421"/>
      <c r="I2" s="4"/>
      <c r="J2" s="5"/>
      <c r="K2" s="605"/>
    </row>
    <row r="3" spans="1:14" ht="10.5" customHeight="1">
      <c r="A3" s="606"/>
      <c r="B3" s="606"/>
      <c r="C3" s="606"/>
      <c r="D3" s="606"/>
      <c r="E3" s="606"/>
      <c r="F3" s="606"/>
      <c r="G3" s="607"/>
      <c r="H3" s="607"/>
      <c r="I3" s="67"/>
    </row>
    <row r="4" spans="1:14" ht="20.100000000000001" customHeight="1">
      <c r="A4" s="43"/>
      <c r="B4" s="43"/>
      <c r="C4" s="43"/>
      <c r="D4" s="43"/>
      <c r="G4" s="277"/>
      <c r="H4" s="277"/>
      <c r="I4" s="8" t="s">
        <v>306</v>
      </c>
    </row>
    <row r="5" spans="1:14" ht="20.25" customHeight="1">
      <c r="A5" s="608"/>
      <c r="B5" s="609"/>
      <c r="C5" s="609"/>
      <c r="D5" s="609"/>
      <c r="E5" s="610" t="s">
        <v>85</v>
      </c>
      <c r="F5" s="611"/>
      <c r="G5" s="1347" t="s">
        <v>312</v>
      </c>
      <c r="H5" s="1347" t="s">
        <v>313</v>
      </c>
      <c r="I5" s="1345" t="s">
        <v>86</v>
      </c>
    </row>
    <row r="6" spans="1:14" ht="20.25" customHeight="1">
      <c r="A6" s="612" t="s">
        <v>405</v>
      </c>
      <c r="B6" s="613"/>
      <c r="C6" s="614"/>
      <c r="D6" s="614"/>
      <c r="E6" s="615"/>
      <c r="F6" s="616"/>
      <c r="G6" s="1348"/>
      <c r="H6" s="1348"/>
      <c r="I6" s="1346"/>
    </row>
    <row r="7" spans="1:14" ht="17.100000000000001" customHeight="1">
      <c r="A7" s="1278" t="s">
        <v>520</v>
      </c>
      <c r="B7" s="1284" t="s">
        <v>87</v>
      </c>
      <c r="C7" s="1272" t="s">
        <v>88</v>
      </c>
      <c r="D7" s="1273"/>
      <c r="E7" s="1273"/>
      <c r="F7" s="1273"/>
      <c r="G7" s="617">
        <f>인건비집계!H25</f>
        <v>56955159</v>
      </c>
      <c r="H7" s="617">
        <f>TRUNC(G7*12)</f>
        <v>683461908</v>
      </c>
      <c r="I7" s="31"/>
      <c r="K7" s="317">
        <f>인건비집계!H25</f>
        <v>56955159</v>
      </c>
      <c r="L7" s="618">
        <f>G7-K7</f>
        <v>0</v>
      </c>
    </row>
    <row r="8" spans="1:14" ht="17.100000000000001" customHeight="1">
      <c r="A8" s="1279"/>
      <c r="B8" s="1285"/>
      <c r="C8" s="1287" t="s">
        <v>79</v>
      </c>
      <c r="D8" s="48"/>
      <c r="E8" s="619" t="s">
        <v>153</v>
      </c>
      <c r="F8" s="48"/>
      <c r="G8" s="620">
        <f>제수당집계!H25</f>
        <v>4364200</v>
      </c>
      <c r="H8" s="620">
        <f t="shared" ref="H8:H51" si="0">TRUNC(G8*12)</f>
        <v>52370400</v>
      </c>
      <c r="I8" s="276"/>
    </row>
    <row r="9" spans="1:14" ht="17.100000000000001" customHeight="1">
      <c r="A9" s="1279"/>
      <c r="B9" s="1285"/>
      <c r="C9" s="1288"/>
      <c r="D9" s="48"/>
      <c r="E9" s="619" t="s">
        <v>270</v>
      </c>
      <c r="F9" s="48"/>
      <c r="G9" s="617">
        <f>제수당집계!K25</f>
        <v>0</v>
      </c>
      <c r="H9" s="617">
        <f t="shared" si="0"/>
        <v>0</v>
      </c>
      <c r="I9" s="31"/>
    </row>
    <row r="10" spans="1:14" ht="17.100000000000001" customHeight="1">
      <c r="A10" s="1279"/>
      <c r="B10" s="1285"/>
      <c r="C10" s="1288"/>
      <c r="D10" s="48"/>
      <c r="E10" s="619" t="s">
        <v>276</v>
      </c>
      <c r="F10" s="48"/>
      <c r="G10" s="617">
        <f>제수당집계!N25</f>
        <v>8906100</v>
      </c>
      <c r="H10" s="617">
        <f t="shared" si="0"/>
        <v>106873200</v>
      </c>
      <c r="I10" s="31"/>
    </row>
    <row r="11" spans="1:14" ht="17.100000000000001" customHeight="1">
      <c r="A11" s="1279"/>
      <c r="B11" s="1285"/>
      <c r="C11" s="1289"/>
      <c r="D11" s="48"/>
      <c r="E11" s="619" t="s">
        <v>115</v>
      </c>
      <c r="F11" s="48"/>
      <c r="G11" s="617">
        <f>SUM(G8:G10)</f>
        <v>13270300</v>
      </c>
      <c r="H11" s="617">
        <f t="shared" si="0"/>
        <v>159243600</v>
      </c>
      <c r="I11" s="31"/>
      <c r="K11" s="317">
        <f>인건비집계!K25</f>
        <v>13270300</v>
      </c>
      <c r="L11" s="618">
        <f>G11-K11</f>
        <v>0</v>
      </c>
    </row>
    <row r="12" spans="1:14" ht="17.100000000000001" customHeight="1">
      <c r="A12" s="1279"/>
      <c r="B12" s="1285"/>
      <c r="C12" s="1268" t="s">
        <v>321</v>
      </c>
      <c r="D12" s="1266"/>
      <c r="E12" s="1266"/>
      <c r="F12" s="1266"/>
      <c r="G12" s="617">
        <f>인건비집계!N25</f>
        <v>18985047</v>
      </c>
      <c r="H12" s="617">
        <f t="shared" si="0"/>
        <v>227820564</v>
      </c>
      <c r="I12" s="266" t="str">
        <f>"기본급의 "&amp;단위당인건비!I5*100&amp;"% 적용"</f>
        <v>기본급의 400% 적용</v>
      </c>
      <c r="K12" s="317">
        <f>인건비집계!N25</f>
        <v>18985047</v>
      </c>
      <c r="L12" s="618">
        <f>G12-K12</f>
        <v>0</v>
      </c>
    </row>
    <row r="13" spans="1:14" ht="17.100000000000001" customHeight="1">
      <c r="A13" s="1279"/>
      <c r="B13" s="1285"/>
      <c r="C13" s="1268" t="s">
        <v>322</v>
      </c>
      <c r="D13" s="1266"/>
      <c r="E13" s="1266"/>
      <c r="F13" s="1266"/>
      <c r="G13" s="617">
        <f>인건비집계!Q25</f>
        <v>7434196</v>
      </c>
      <c r="H13" s="617">
        <f t="shared" si="0"/>
        <v>89210352</v>
      </c>
      <c r="I13" s="266" t="s">
        <v>305</v>
      </c>
      <c r="K13" s="317">
        <f>인건비집계!Q25</f>
        <v>7434196</v>
      </c>
      <c r="L13" s="618">
        <f>G13-K13</f>
        <v>0</v>
      </c>
    </row>
    <row r="14" spans="1:14" ht="17.100000000000001" customHeight="1" thickBot="1">
      <c r="A14" s="1279"/>
      <c r="B14" s="1286"/>
      <c r="C14" s="1272" t="s">
        <v>89</v>
      </c>
      <c r="D14" s="1273"/>
      <c r="E14" s="1273"/>
      <c r="F14" s="1273"/>
      <c r="G14" s="617">
        <f>SUM(G7,G11,G12,G13)</f>
        <v>96644702</v>
      </c>
      <c r="H14" s="617">
        <f t="shared" si="0"/>
        <v>1159736424</v>
      </c>
      <c r="I14" s="276" t="str">
        <f>인건비집계!$A$1&amp;"참조"</f>
        <v>[ 표 : 5 ] 참조</v>
      </c>
    </row>
    <row r="15" spans="1:14" ht="17.100000000000001" customHeight="1">
      <c r="A15" s="1279"/>
      <c r="B15" s="1290" t="s">
        <v>522</v>
      </c>
      <c r="C15" s="1284" t="s">
        <v>90</v>
      </c>
      <c r="D15" s="48"/>
      <c r="E15" s="621" t="s">
        <v>148</v>
      </c>
      <c r="F15" s="621"/>
      <c r="G15" s="622">
        <f>경비집계!F7</f>
        <v>802882</v>
      </c>
      <c r="H15" s="622">
        <f t="shared" si="0"/>
        <v>9634584</v>
      </c>
      <c r="I15" s="623" t="str">
        <f>"(기본급+제수당+상여금)×"&amp;J15&amp;"%"</f>
        <v>(기본급+제수당+상여금)×0.9%</v>
      </c>
      <c r="J15" s="624">
        <f>'고정)인적보험료'!M8</f>
        <v>0.9</v>
      </c>
      <c r="K15" s="317">
        <f>경비집계!F7</f>
        <v>802882</v>
      </c>
      <c r="L15" s="314">
        <f t="shared" ref="L15:L29" si="1">K15-G15</f>
        <v>0</v>
      </c>
      <c r="N15" s="658" t="s">
        <v>750</v>
      </c>
    </row>
    <row r="16" spans="1:14" ht="17.100000000000001" customHeight="1">
      <c r="A16" s="1279"/>
      <c r="B16" s="1288"/>
      <c r="C16" s="1291"/>
      <c r="D16" s="48"/>
      <c r="E16" s="621" t="s">
        <v>91</v>
      </c>
      <c r="F16" s="621"/>
      <c r="G16" s="622">
        <f>경비집계!F8</f>
        <v>4014456</v>
      </c>
      <c r="H16" s="622">
        <f t="shared" si="0"/>
        <v>48173472</v>
      </c>
      <c r="I16" s="623" t="str">
        <f>"(기본급+제수당+상여금)×"&amp;J16&amp;"%"</f>
        <v>(기본급+제수당+상여금)×4.5%</v>
      </c>
      <c r="J16" s="624">
        <f>'고정)인적보험료'!M9</f>
        <v>4.5</v>
      </c>
      <c r="K16" s="317">
        <f>경비집계!F8</f>
        <v>4014456</v>
      </c>
      <c r="L16" s="314">
        <f t="shared" si="1"/>
        <v>0</v>
      </c>
      <c r="N16" s="659">
        <f>H16*3</f>
        <v>144520416</v>
      </c>
    </row>
    <row r="17" spans="1:14" ht="17.100000000000001" customHeight="1">
      <c r="A17" s="1279"/>
      <c r="B17" s="1288"/>
      <c r="C17" s="1291"/>
      <c r="D17" s="48"/>
      <c r="E17" s="621" t="s">
        <v>92</v>
      </c>
      <c r="F17" s="621"/>
      <c r="G17" s="622">
        <f>경비집계!F9</f>
        <v>1025903</v>
      </c>
      <c r="H17" s="622">
        <f t="shared" si="0"/>
        <v>12310836</v>
      </c>
      <c r="I17" s="623" t="str">
        <f>"(기본급+제수당+상여금)×"&amp;J17&amp;"%"</f>
        <v>(기본급+제수당+상여금)×1.15%</v>
      </c>
      <c r="J17" s="624">
        <f>'고정)인적보험료'!M10</f>
        <v>1.1499999999999999</v>
      </c>
      <c r="K17" s="317">
        <f>경비집계!F9</f>
        <v>1025903</v>
      </c>
      <c r="L17" s="314">
        <f t="shared" si="1"/>
        <v>0</v>
      </c>
      <c r="N17" s="659"/>
    </row>
    <row r="18" spans="1:14" ht="17.100000000000001" customHeight="1">
      <c r="A18" s="1279"/>
      <c r="B18" s="1288"/>
      <c r="C18" s="1291"/>
      <c r="D18" s="48"/>
      <c r="E18" s="621" t="s">
        <v>93</v>
      </c>
      <c r="F18" s="621"/>
      <c r="G18" s="622">
        <f>경비집계!F10</f>
        <v>3162501</v>
      </c>
      <c r="H18" s="622">
        <f t="shared" si="0"/>
        <v>37950012</v>
      </c>
      <c r="I18" s="623" t="str">
        <f>"(기본급+제수당+상여금)×"&amp;J18&amp;"%"</f>
        <v>(기본급+제수당+상여금)×3.545%</v>
      </c>
      <c r="J18" s="624">
        <f>'고정)인적보험료'!M11</f>
        <v>3.5449999999999999</v>
      </c>
      <c r="K18" s="317">
        <f>경비집계!F10</f>
        <v>3162501</v>
      </c>
      <c r="L18" s="314">
        <f t="shared" si="1"/>
        <v>0</v>
      </c>
      <c r="N18" s="659">
        <f>H18*3</f>
        <v>113850036</v>
      </c>
    </row>
    <row r="19" spans="1:14" ht="17.100000000000001" customHeight="1" thickBot="1">
      <c r="A19" s="1279"/>
      <c r="B19" s="1288"/>
      <c r="C19" s="1291"/>
      <c r="D19" s="48"/>
      <c r="E19" s="621" t="s">
        <v>210</v>
      </c>
      <c r="F19" s="621"/>
      <c r="G19" s="622">
        <f>경비집계!F11</f>
        <v>405109</v>
      </c>
      <c r="H19" s="622">
        <f t="shared" si="0"/>
        <v>4861308</v>
      </c>
      <c r="I19" s="623" t="str">
        <f>"건강보험료×"&amp;J19&amp;"%"</f>
        <v>건강보험료×12.81%</v>
      </c>
      <c r="J19" s="624">
        <f>'고정)인적보험료'!M12</f>
        <v>12.81</v>
      </c>
      <c r="K19" s="317">
        <f>경비집계!F11</f>
        <v>405109</v>
      </c>
      <c r="L19" s="314">
        <f t="shared" si="1"/>
        <v>0</v>
      </c>
      <c r="N19" s="660">
        <f>H19*3</f>
        <v>14583924</v>
      </c>
    </row>
    <row r="20" spans="1:14" ht="17.100000000000001" customHeight="1">
      <c r="A20" s="1279"/>
      <c r="B20" s="1288"/>
      <c r="C20" s="1291"/>
      <c r="D20" s="48"/>
      <c r="E20" s="621" t="s">
        <v>94</v>
      </c>
      <c r="F20" s="621"/>
      <c r="G20" s="622">
        <f>경비집계!F12</f>
        <v>53511</v>
      </c>
      <c r="H20" s="622">
        <f>TRUNC(G20*12)</f>
        <v>642132</v>
      </c>
      <c r="I20" s="623" t="str">
        <f>"(기본급+제수당+상여금)×"&amp;J20&amp;"%"</f>
        <v>(기본급+제수당+상여금)×0.06%</v>
      </c>
      <c r="J20" s="624">
        <f>'고정)인적보험료'!M13</f>
        <v>0.06</v>
      </c>
      <c r="K20" s="317">
        <f>경비집계!F12</f>
        <v>53511</v>
      </c>
      <c r="L20" s="314">
        <f>K20-G20</f>
        <v>0</v>
      </c>
    </row>
    <row r="21" spans="1:14" ht="17.100000000000001" customHeight="1">
      <c r="A21" s="1279"/>
      <c r="B21" s="1288"/>
      <c r="C21" s="1291"/>
      <c r="D21" s="48"/>
      <c r="E21" s="621" t="s">
        <v>634</v>
      </c>
      <c r="F21" s="621"/>
      <c r="G21" s="622">
        <f>경비집계!F13</f>
        <v>3554</v>
      </c>
      <c r="H21" s="622">
        <f t="shared" si="0"/>
        <v>42648</v>
      </c>
      <c r="I21" s="623" t="str">
        <f>"(기본급+제수당+상여금)×"&amp;J21&amp;"%"</f>
        <v>(기본급+제수당+상여금)×0.004%</v>
      </c>
      <c r="J21" s="624">
        <f>'고정)인적보험료'!M14</f>
        <v>4.0000000000000001E-3</v>
      </c>
      <c r="K21" s="317">
        <f>경비집계!F13</f>
        <v>3554</v>
      </c>
      <c r="L21" s="314">
        <f t="shared" si="1"/>
        <v>0</v>
      </c>
    </row>
    <row r="22" spans="1:14" ht="17.100000000000001" customHeight="1">
      <c r="A22" s="1279"/>
      <c r="B22" s="1288"/>
      <c r="C22" s="1269" t="s">
        <v>176</v>
      </c>
      <c r="D22" s="1270"/>
      <c r="E22" s="1270"/>
      <c r="F22" s="1270"/>
      <c r="G22" s="622">
        <f>경비집계!F15</f>
        <v>4869242</v>
      </c>
      <c r="H22" s="622">
        <f t="shared" si="0"/>
        <v>58430904</v>
      </c>
      <c r="I22" s="625"/>
      <c r="K22" s="317">
        <f>경비집계!F15</f>
        <v>4869242</v>
      </c>
      <c r="L22" s="314">
        <f t="shared" si="1"/>
        <v>0</v>
      </c>
    </row>
    <row r="23" spans="1:14" ht="17.100000000000001" customHeight="1">
      <c r="A23" s="1279"/>
      <c r="B23" s="1288"/>
      <c r="C23" s="1269" t="s">
        <v>542</v>
      </c>
      <c r="D23" s="1270"/>
      <c r="E23" s="1270"/>
      <c r="F23" s="1270"/>
      <c r="G23" s="622">
        <f>경비집계!F16</f>
        <v>1797591.4571999998</v>
      </c>
      <c r="H23" s="622">
        <f t="shared" si="0"/>
        <v>21571097</v>
      </c>
      <c r="I23" s="625"/>
      <c r="K23" s="317">
        <f>경비집계!F16</f>
        <v>1797591.4571999998</v>
      </c>
      <c r="L23" s="314">
        <f t="shared" si="1"/>
        <v>0</v>
      </c>
    </row>
    <row r="24" spans="1:14" ht="17.100000000000001" customHeight="1">
      <c r="A24" s="1279"/>
      <c r="B24" s="1288"/>
      <c r="C24" s="1269" t="s">
        <v>543</v>
      </c>
      <c r="D24" s="1270"/>
      <c r="E24" s="1270"/>
      <c r="F24" s="1270"/>
      <c r="G24" s="622">
        <f>경비집계!F17</f>
        <v>167397</v>
      </c>
      <c r="H24" s="622">
        <f t="shared" si="0"/>
        <v>2008764</v>
      </c>
      <c r="I24" s="625"/>
      <c r="K24" s="317">
        <f>경비집계!F17</f>
        <v>167397</v>
      </c>
      <c r="L24" s="314">
        <f t="shared" si="1"/>
        <v>0</v>
      </c>
    </row>
    <row r="25" spans="1:14" ht="17.100000000000001" customHeight="1">
      <c r="A25" s="1279"/>
      <c r="B25" s="1288"/>
      <c r="C25" s="1269" t="s">
        <v>544</v>
      </c>
      <c r="D25" s="1270"/>
      <c r="E25" s="1270"/>
      <c r="F25" s="1270"/>
      <c r="G25" s="622">
        <f>경비집계!F18</f>
        <v>627434</v>
      </c>
      <c r="H25" s="622">
        <f t="shared" si="0"/>
        <v>7529208</v>
      </c>
      <c r="I25" s="625"/>
      <c r="K25" s="317">
        <f>경비집계!F18</f>
        <v>627434</v>
      </c>
      <c r="L25" s="314">
        <f t="shared" si="1"/>
        <v>0</v>
      </c>
    </row>
    <row r="26" spans="1:14" ht="17.100000000000001" customHeight="1">
      <c r="A26" s="1279"/>
      <c r="B26" s="1288"/>
      <c r="C26" s="1269" t="s">
        <v>548</v>
      </c>
      <c r="D26" s="1270"/>
      <c r="E26" s="1270"/>
      <c r="F26" s="1270"/>
      <c r="G26" s="622">
        <f>경비집계!F19</f>
        <v>95661</v>
      </c>
      <c r="H26" s="622">
        <f t="shared" si="0"/>
        <v>1147932</v>
      </c>
      <c r="I26" s="625"/>
      <c r="K26" s="317">
        <f>경비집계!F19</f>
        <v>95661</v>
      </c>
      <c r="L26" s="314">
        <f t="shared" si="1"/>
        <v>0</v>
      </c>
    </row>
    <row r="27" spans="1:14" ht="17.100000000000001" customHeight="1">
      <c r="A27" s="1279"/>
      <c r="B27" s="1288"/>
      <c r="C27" s="1269" t="s">
        <v>545</v>
      </c>
      <c r="D27" s="1270"/>
      <c r="E27" s="1270"/>
      <c r="F27" s="1270"/>
      <c r="G27" s="622">
        <f>경비집계!F20</f>
        <v>173066</v>
      </c>
      <c r="H27" s="622">
        <f t="shared" si="0"/>
        <v>2076792</v>
      </c>
      <c r="I27" s="625"/>
      <c r="K27" s="317">
        <f>경비집계!F20</f>
        <v>173066</v>
      </c>
      <c r="L27" s="314">
        <f t="shared" si="1"/>
        <v>0</v>
      </c>
    </row>
    <row r="28" spans="1:14" ht="17.100000000000001" customHeight="1">
      <c r="A28" s="1279"/>
      <c r="B28" s="1288"/>
      <c r="C28" s="1269"/>
      <c r="D28" s="1270"/>
      <c r="E28" s="1270"/>
      <c r="F28" s="1270"/>
      <c r="G28" s="622"/>
      <c r="H28" s="622"/>
      <c r="I28" s="625"/>
      <c r="L28" s="314"/>
    </row>
    <row r="29" spans="1:14" ht="17.100000000000001" customHeight="1">
      <c r="A29" s="1279"/>
      <c r="B29" s="1289"/>
      <c r="C29" s="1272" t="s">
        <v>89</v>
      </c>
      <c r="D29" s="1273"/>
      <c r="E29" s="1273"/>
      <c r="F29" s="1273"/>
      <c r="G29" s="622">
        <f>SUM(G15:G28)</f>
        <v>17198307.457199998</v>
      </c>
      <c r="H29" s="622">
        <f>SUM(H15:H28)</f>
        <v>206379689</v>
      </c>
      <c r="I29" s="625" t="str">
        <f>경비집계!$A$1&amp;"참조"</f>
        <v>[ 표 : 16 ] 참조</v>
      </c>
      <c r="K29" s="317">
        <f>경비집계!F22</f>
        <v>17198307.457199998</v>
      </c>
      <c r="L29" s="314">
        <f t="shared" si="1"/>
        <v>0</v>
      </c>
    </row>
    <row r="30" spans="1:14" ht="17.100000000000001" customHeight="1">
      <c r="A30" s="1279"/>
      <c r="B30" s="1268" t="s">
        <v>347</v>
      </c>
      <c r="C30" s="1266"/>
      <c r="D30" s="1266"/>
      <c r="E30" s="1266"/>
      <c r="F30" s="1267"/>
      <c r="G30" s="622">
        <f>SUM(G14,G29)</f>
        <v>113843009.45719999</v>
      </c>
      <c r="H30" s="622">
        <f t="shared" si="0"/>
        <v>1366116113</v>
      </c>
      <c r="I30" s="625" t="s">
        <v>406</v>
      </c>
    </row>
    <row r="31" spans="1:14" ht="17.100000000000001" customHeight="1">
      <c r="A31" s="1279"/>
      <c r="B31" s="1268" t="str">
        <f>"일반관리비("&amp;J31&amp;"%)"</f>
        <v>일반관리비(9%)</v>
      </c>
      <c r="C31" s="1266"/>
      <c r="D31" s="1266"/>
      <c r="E31" s="1266"/>
      <c r="F31" s="1267"/>
      <c r="G31" s="622">
        <f>TRUNC(G30*$J$31%,0)</f>
        <v>10245870</v>
      </c>
      <c r="H31" s="622">
        <f t="shared" si="0"/>
        <v>122950440</v>
      </c>
      <c r="I31" s="623" t="str">
        <f>"순용역원가×"&amp;J31&amp;"%"</f>
        <v>순용역원가×9%</v>
      </c>
      <c r="J31" s="12">
        <v>9</v>
      </c>
      <c r="K31" s="317">
        <f>일반관리비!F10</f>
        <v>10245870</v>
      </c>
      <c r="L31" s="314">
        <f>K31-G31</f>
        <v>0</v>
      </c>
    </row>
    <row r="32" spans="1:14" ht="17.100000000000001" customHeight="1">
      <c r="A32" s="1279"/>
      <c r="B32" s="1268" t="str">
        <f>"이윤("&amp;J32&amp;"%)"</f>
        <v>이윤(10%)</v>
      </c>
      <c r="C32" s="1266"/>
      <c r="D32" s="1266"/>
      <c r="E32" s="1266"/>
      <c r="F32" s="1267"/>
      <c r="G32" s="622">
        <f>TRUNC((SUM(G14,G29,G31))*$J$32%,0)</f>
        <v>12408887</v>
      </c>
      <c r="H32" s="622">
        <f t="shared" si="0"/>
        <v>148906644</v>
      </c>
      <c r="I32" s="623" t="str">
        <f>"(순용역원가+일반관리비)×"&amp;J32&amp;"%"</f>
        <v>(순용역원가+일반관리비)×10%</v>
      </c>
      <c r="J32" s="12">
        <f>용역원가집계!H5</f>
        <v>10</v>
      </c>
      <c r="K32" s="317">
        <f>이윤!G10</f>
        <v>12408887</v>
      </c>
      <c r="L32" s="314">
        <f>K32-G32</f>
        <v>0</v>
      </c>
    </row>
    <row r="33" spans="1:16" ht="17.100000000000001" customHeight="1">
      <c r="A33" s="1279"/>
      <c r="B33" s="1268" t="s">
        <v>348</v>
      </c>
      <c r="C33" s="1266"/>
      <c r="D33" s="1266"/>
      <c r="E33" s="1266"/>
      <c r="F33" s="1267"/>
      <c r="G33" s="622">
        <f>SUM(G30:G32)</f>
        <v>136497766.45719999</v>
      </c>
      <c r="H33" s="622">
        <f t="shared" si="0"/>
        <v>1637973197</v>
      </c>
      <c r="I33" s="625" t="s">
        <v>272</v>
      </c>
    </row>
    <row r="34" spans="1:16" ht="17.100000000000001" customHeight="1">
      <c r="A34" s="1279"/>
      <c r="B34" s="1268" t="s">
        <v>349</v>
      </c>
      <c r="C34" s="1266"/>
      <c r="D34" s="1266"/>
      <c r="E34" s="1266"/>
      <c r="F34" s="1267"/>
      <c r="G34" s="622">
        <f>TRUNC((G33)*10%,0)</f>
        <v>13649776</v>
      </c>
      <c r="H34" s="622">
        <f t="shared" si="0"/>
        <v>163797312</v>
      </c>
      <c r="I34" s="625" t="s">
        <v>525</v>
      </c>
    </row>
    <row r="35" spans="1:16" ht="17.100000000000001" customHeight="1">
      <c r="A35" s="1280"/>
      <c r="B35" s="1268" t="s">
        <v>519</v>
      </c>
      <c r="C35" s="1266"/>
      <c r="D35" s="1266"/>
      <c r="E35" s="1266"/>
      <c r="F35" s="1267"/>
      <c r="G35" s="622">
        <f>SUM(G33:G34)</f>
        <v>150147542.45719999</v>
      </c>
      <c r="H35" s="622">
        <f t="shared" si="0"/>
        <v>1801770509</v>
      </c>
      <c r="I35" s="625" t="s">
        <v>273</v>
      </c>
      <c r="N35" s="618">
        <f>H35*3</f>
        <v>5405311527</v>
      </c>
      <c r="P35" s="39"/>
    </row>
    <row r="36" spans="1:16" ht="17.100000000000001" customHeight="1">
      <c r="A36" s="1278" t="s">
        <v>521</v>
      </c>
      <c r="B36" s="1281" t="s">
        <v>547</v>
      </c>
      <c r="C36" s="1269" t="s">
        <v>535</v>
      </c>
      <c r="D36" s="1270"/>
      <c r="E36" s="1270"/>
      <c r="F36" s="1270"/>
      <c r="G36" s="622">
        <f>경비집계!F23</f>
        <v>2250000</v>
      </c>
      <c r="H36" s="622">
        <f>'변동)소모자재비'!H13</f>
        <v>27000000</v>
      </c>
      <c r="I36" s="625"/>
      <c r="K36" s="317">
        <f>경비집계!F23</f>
        <v>2250000</v>
      </c>
      <c r="L36" s="314">
        <f>K36-G36</f>
        <v>0</v>
      </c>
    </row>
    <row r="37" spans="1:16" ht="17.100000000000001" customHeight="1">
      <c r="A37" s="1279"/>
      <c r="B37" s="1282"/>
      <c r="C37" s="1269" t="s">
        <v>577</v>
      </c>
      <c r="D37" s="1270"/>
      <c r="E37" s="1270"/>
      <c r="F37" s="1270"/>
      <c r="G37" s="622">
        <f>'변동)수선유지비'!T31</f>
        <v>48736666</v>
      </c>
      <c r="H37" s="622">
        <f>'변동)수선유지비'!T30</f>
        <v>584840000</v>
      </c>
      <c r="I37" s="625"/>
      <c r="K37" s="317">
        <f>경비집계!F24</f>
        <v>52986666</v>
      </c>
      <c r="L37" s="314">
        <f t="shared" ref="L37:L43" si="2">K37-G37</f>
        <v>4250000</v>
      </c>
    </row>
    <row r="38" spans="1:16" ht="17.100000000000001" customHeight="1">
      <c r="A38" s="1279"/>
      <c r="B38" s="1282"/>
      <c r="C38" s="1269" t="s">
        <v>536</v>
      </c>
      <c r="D38" s="1270"/>
      <c r="E38" s="1270"/>
      <c r="F38" s="1270"/>
      <c r="G38" s="622">
        <f>경비집계!F25</f>
        <v>150263</v>
      </c>
      <c r="H38" s="622">
        <f>'변동)측정검사수수료'!H12</f>
        <v>1803166</v>
      </c>
      <c r="I38" s="625"/>
      <c r="K38" s="317">
        <f>경비집계!F25</f>
        <v>150263</v>
      </c>
      <c r="L38" s="314">
        <f t="shared" si="2"/>
        <v>0</v>
      </c>
    </row>
    <row r="39" spans="1:16" ht="17.100000000000001" customHeight="1">
      <c r="A39" s="1279"/>
      <c r="B39" s="1282"/>
      <c r="C39" s="1269" t="s">
        <v>656</v>
      </c>
      <c r="D39" s="1270"/>
      <c r="E39" s="1270"/>
      <c r="F39" s="1270"/>
      <c r="G39" s="622">
        <f>경비집계!F26</f>
        <v>2440000</v>
      </c>
      <c r="H39" s="622">
        <f>'변동)안전점검대행비'!H14</f>
        <v>29280000</v>
      </c>
      <c r="I39" s="625"/>
      <c r="K39" s="317">
        <f>경비집계!F26</f>
        <v>2440000</v>
      </c>
      <c r="L39" s="314">
        <f t="shared" si="2"/>
        <v>0</v>
      </c>
    </row>
    <row r="40" spans="1:16" ht="17.100000000000001" customHeight="1">
      <c r="A40" s="1279"/>
      <c r="B40" s="1282"/>
      <c r="C40" s="1269" t="s">
        <v>537</v>
      </c>
      <c r="D40" s="1270"/>
      <c r="E40" s="1270"/>
      <c r="F40" s="1270"/>
      <c r="G40" s="622">
        <f>경비집계!F27</f>
        <v>4939000</v>
      </c>
      <c r="H40" s="622">
        <f>'변동)차량유지비'!H15</f>
        <v>59268000</v>
      </c>
      <c r="I40" s="625"/>
      <c r="K40" s="317">
        <f>경비집계!F27</f>
        <v>4939000</v>
      </c>
      <c r="L40" s="314">
        <f t="shared" si="2"/>
        <v>0</v>
      </c>
    </row>
    <row r="41" spans="1:16" ht="17.100000000000001" customHeight="1">
      <c r="A41" s="1279"/>
      <c r="B41" s="1282"/>
      <c r="C41" s="1269" t="s">
        <v>538</v>
      </c>
      <c r="D41" s="1270"/>
      <c r="E41" s="1270"/>
      <c r="F41" s="1270"/>
      <c r="G41" s="622">
        <f>경비집계!F28</f>
        <v>520000</v>
      </c>
      <c r="H41" s="622">
        <f>'변동)보안관리비'!H11</f>
        <v>6240000</v>
      </c>
      <c r="I41" s="625"/>
      <c r="K41" s="317">
        <f>경비집계!F28</f>
        <v>520000</v>
      </c>
      <c r="L41" s="314">
        <f t="shared" si="2"/>
        <v>0</v>
      </c>
    </row>
    <row r="42" spans="1:16" s="275" customFormat="1" ht="17.100000000000001" customHeight="1">
      <c r="A42" s="1279"/>
      <c r="B42" s="1282"/>
      <c r="C42" s="1269" t="s">
        <v>744</v>
      </c>
      <c r="D42" s="1270"/>
      <c r="E42" s="1270"/>
      <c r="F42" s="1270"/>
      <c r="G42" s="622">
        <f>경비집계!F29</f>
        <v>5808711.0084666656</v>
      </c>
      <c r="H42" s="622">
        <f>'변동)수집운반비'!E12</f>
        <v>69704532.101599991</v>
      </c>
      <c r="I42" s="625" t="s">
        <v>1357</v>
      </c>
      <c r="K42" s="626">
        <f>경비집계!F29</f>
        <v>5808711.0084666656</v>
      </c>
      <c r="L42" s="627">
        <f>K42-G42</f>
        <v>0</v>
      </c>
    </row>
    <row r="43" spans="1:16" ht="17.100000000000001" customHeight="1">
      <c r="A43" s="1279"/>
      <c r="B43" s="1282"/>
      <c r="C43" s="1272" t="s">
        <v>89</v>
      </c>
      <c r="D43" s="1273"/>
      <c r="E43" s="1273"/>
      <c r="F43" s="1274"/>
      <c r="G43" s="622">
        <f>SUM(G36:G42)</f>
        <v>64844640.008466668</v>
      </c>
      <c r="H43" s="622">
        <f t="shared" si="0"/>
        <v>778135680</v>
      </c>
      <c r="I43" s="625" t="str">
        <f>경비집계!$A$1&amp;"참조"</f>
        <v>[ 표 : 16 ] 참조</v>
      </c>
      <c r="K43" s="317">
        <f>경비집계!F30</f>
        <v>69094640.008466661</v>
      </c>
      <c r="L43" s="314">
        <f t="shared" si="2"/>
        <v>4249999.9999999925</v>
      </c>
    </row>
    <row r="44" spans="1:16" ht="17.100000000000001" customHeight="1">
      <c r="A44" s="1279"/>
      <c r="B44" s="1282"/>
      <c r="C44" s="1268" t="s">
        <v>526</v>
      </c>
      <c r="D44" s="1266"/>
      <c r="E44" s="1266"/>
      <c r="F44" s="1267"/>
      <c r="G44" s="622">
        <f>SUM(G43)</f>
        <v>64844640.008466668</v>
      </c>
      <c r="H44" s="622">
        <f t="shared" si="0"/>
        <v>778135680</v>
      </c>
      <c r="I44" s="625" t="s">
        <v>523</v>
      </c>
    </row>
    <row r="45" spans="1:16" ht="17.100000000000001" customHeight="1">
      <c r="A45" s="1279"/>
      <c r="B45" s="1282"/>
      <c r="C45" s="1268" t="s">
        <v>349</v>
      </c>
      <c r="D45" s="1266"/>
      <c r="E45" s="1266"/>
      <c r="F45" s="1267"/>
      <c r="G45" s="622">
        <f>TRUNC(G44*10%,0)</f>
        <v>6484464</v>
      </c>
      <c r="H45" s="622">
        <f>TRUNC(H44*10%,0)</f>
        <v>77813568</v>
      </c>
      <c r="I45" s="625" t="s">
        <v>525</v>
      </c>
    </row>
    <row r="46" spans="1:16" ht="17.100000000000001" customHeight="1">
      <c r="A46" s="1279"/>
      <c r="B46" s="1283"/>
      <c r="C46" s="1268" t="s">
        <v>546</v>
      </c>
      <c r="D46" s="1266"/>
      <c r="E46" s="1266"/>
      <c r="F46" s="1267"/>
      <c r="G46" s="622">
        <f>SUM(G44:G45)</f>
        <v>71329104.008466661</v>
      </c>
      <c r="H46" s="622">
        <f t="shared" si="0"/>
        <v>855949248</v>
      </c>
      <c r="I46" s="625" t="s">
        <v>273</v>
      </c>
    </row>
    <row r="47" spans="1:16" ht="17.100000000000001" customHeight="1">
      <c r="A47" s="1279"/>
      <c r="B47" s="1275" t="s">
        <v>551</v>
      </c>
      <c r="C47" s="1269" t="s">
        <v>539</v>
      </c>
      <c r="D47" s="1270"/>
      <c r="E47" s="1270"/>
      <c r="F47" s="1270"/>
      <c r="G47" s="617">
        <f>'용역원가(24년)'!G46*(1+0.05)</f>
        <v>141661382.09999999</v>
      </c>
      <c r="H47" s="617">
        <f>'36개월총괄'!I44</f>
        <v>1699936596.75</v>
      </c>
      <c r="I47" s="276"/>
      <c r="K47" s="317">
        <f>경비집계!F31</f>
        <v>134915602</v>
      </c>
      <c r="L47" s="314">
        <f>K47-G47</f>
        <v>-6745780.099999994</v>
      </c>
    </row>
    <row r="48" spans="1:16" ht="17.100000000000001" customHeight="1">
      <c r="A48" s="1279"/>
      <c r="B48" s="1276"/>
      <c r="C48" s="1269" t="s">
        <v>540</v>
      </c>
      <c r="D48" s="1270"/>
      <c r="E48" s="1270"/>
      <c r="F48" s="1270"/>
      <c r="G48" s="617">
        <f>경비집계!F32</f>
        <v>3641717</v>
      </c>
      <c r="H48" s="617">
        <f>'변동-대)수도광열비'!H17</f>
        <v>43700610</v>
      </c>
      <c r="I48" s="276"/>
      <c r="K48" s="317">
        <f>경비집계!F32</f>
        <v>3641717</v>
      </c>
      <c r="L48" s="314">
        <f>K48-G48</f>
        <v>0</v>
      </c>
    </row>
    <row r="49" spans="1:16" ht="17.100000000000001" customHeight="1">
      <c r="A49" s="1279"/>
      <c r="B49" s="1276"/>
      <c r="C49" s="1269" t="s">
        <v>541</v>
      </c>
      <c r="D49" s="1270"/>
      <c r="E49" s="1270"/>
      <c r="F49" s="1270"/>
      <c r="G49" s="617">
        <f>경비집계!F33</f>
        <v>5832292</v>
      </c>
      <c r="H49" s="617">
        <f>'변동-대)시설물보험료'!H17</f>
        <v>69987500</v>
      </c>
      <c r="I49" s="276"/>
      <c r="J49" s="12" t="s">
        <v>559</v>
      </c>
      <c r="K49" s="317">
        <f>경비집계!F33</f>
        <v>5832292</v>
      </c>
      <c r="L49" s="314">
        <f>K49-G49</f>
        <v>0</v>
      </c>
    </row>
    <row r="50" spans="1:16" ht="17.100000000000001" customHeight="1">
      <c r="A50" s="1279"/>
      <c r="B50" s="1277"/>
      <c r="C50" s="1269" t="s">
        <v>546</v>
      </c>
      <c r="D50" s="1270"/>
      <c r="E50" s="1270"/>
      <c r="F50" s="1270"/>
      <c r="G50" s="617">
        <f>SUM(G47:G49)</f>
        <v>151135391.09999999</v>
      </c>
      <c r="H50" s="617">
        <f t="shared" si="0"/>
        <v>1813624693</v>
      </c>
      <c r="I50" s="276" t="str">
        <f>경비집계!$A$1&amp;"참조"</f>
        <v>[ 표 : 16 ] 참조</v>
      </c>
      <c r="K50" s="317">
        <f>SUM(K47:K49)</f>
        <v>144389611</v>
      </c>
      <c r="L50" s="314">
        <f>K50-G50</f>
        <v>-6745780.099999994</v>
      </c>
    </row>
    <row r="51" spans="1:16" ht="17.100000000000001" customHeight="1">
      <c r="A51" s="1280"/>
      <c r="B51" s="1266" t="s">
        <v>524</v>
      </c>
      <c r="C51" s="1266"/>
      <c r="D51" s="1266"/>
      <c r="E51" s="1266"/>
      <c r="F51" s="1267"/>
      <c r="G51" s="617">
        <f>SUM(G46,G50)</f>
        <v>222464495.10846666</v>
      </c>
      <c r="H51" s="617">
        <f t="shared" si="0"/>
        <v>2669573941</v>
      </c>
      <c r="I51" s="276" t="s">
        <v>552</v>
      </c>
      <c r="L51" s="314"/>
      <c r="N51" s="618">
        <f>H51*3</f>
        <v>8008721823</v>
      </c>
      <c r="P51" s="39"/>
    </row>
    <row r="52" spans="1:16" ht="17.100000000000001" customHeight="1">
      <c r="A52" s="1268" t="s">
        <v>529</v>
      </c>
      <c r="B52" s="1266"/>
      <c r="C52" s="1266"/>
      <c r="D52" s="1266"/>
      <c r="E52" s="1266"/>
      <c r="F52" s="1267"/>
      <c r="G52" s="617">
        <f>TRUNC(SUM(G51,G35),-3)</f>
        <v>372612000</v>
      </c>
      <c r="H52" s="617">
        <f>TRUNC(H35+H51,-3)</f>
        <v>4471344000</v>
      </c>
      <c r="I52" s="276" t="s">
        <v>530</v>
      </c>
      <c r="N52" s="618">
        <f>H52*3</f>
        <v>13414032000</v>
      </c>
    </row>
  </sheetData>
  <mergeCells count="46">
    <mergeCell ref="B51:F51"/>
    <mergeCell ref="A52:F52"/>
    <mergeCell ref="C44:F44"/>
    <mergeCell ref="C45:F45"/>
    <mergeCell ref="C46:F46"/>
    <mergeCell ref="B47:B50"/>
    <mergeCell ref="C47:F47"/>
    <mergeCell ref="C48:F48"/>
    <mergeCell ref="C49:F49"/>
    <mergeCell ref="C50:F50"/>
    <mergeCell ref="A36:A51"/>
    <mergeCell ref="B36:B46"/>
    <mergeCell ref="C36:F36"/>
    <mergeCell ref="C37:F37"/>
    <mergeCell ref="C38:F38"/>
    <mergeCell ref="C39:F39"/>
    <mergeCell ref="C41:F41"/>
    <mergeCell ref="C42:F42"/>
    <mergeCell ref="C43:F43"/>
    <mergeCell ref="B30:F30"/>
    <mergeCell ref="B31:F31"/>
    <mergeCell ref="B32:F32"/>
    <mergeCell ref="B33:F33"/>
    <mergeCell ref="B34:F34"/>
    <mergeCell ref="B35:F35"/>
    <mergeCell ref="C26:F26"/>
    <mergeCell ref="C27:F27"/>
    <mergeCell ref="C28:F28"/>
    <mergeCell ref="C29:F29"/>
    <mergeCell ref="C40:F40"/>
    <mergeCell ref="G5:G6"/>
    <mergeCell ref="H5:H6"/>
    <mergeCell ref="I5:I6"/>
    <mergeCell ref="A7:A35"/>
    <mergeCell ref="B7:B14"/>
    <mergeCell ref="C7:F7"/>
    <mergeCell ref="C8:C11"/>
    <mergeCell ref="C12:F12"/>
    <mergeCell ref="C13:F13"/>
    <mergeCell ref="C14:F14"/>
    <mergeCell ref="B15:B29"/>
    <mergeCell ref="C15:C21"/>
    <mergeCell ref="C22:F22"/>
    <mergeCell ref="C23:F23"/>
    <mergeCell ref="C24:F24"/>
    <mergeCell ref="C25:F2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9" firstPageNumber="141" orientation="portrait" r:id="rId1"/>
  <headerFooter alignWithMargins="0">
    <oddFooter>&amp;C&amp;"바탕체,보통"&amp;12- &amp;P -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view="pageBreakPreview" topLeftCell="A23" zoomScaleNormal="80" zoomScaleSheetLayoutView="100" workbookViewId="0">
      <selection activeCell="G46" sqref="G46"/>
    </sheetView>
  </sheetViews>
  <sheetFormatPr defaultRowHeight="12"/>
  <cols>
    <col min="1" max="3" width="3.77734375" style="34" customWidth="1"/>
    <col min="4" max="4" width="1.109375" style="34" customWidth="1"/>
    <col min="5" max="5" width="16" style="34" customWidth="1"/>
    <col min="6" max="6" width="1.109375" style="34" customWidth="1"/>
    <col min="7" max="8" width="17.88671875" style="58" customWidth="1"/>
    <col min="9" max="9" width="31.33203125" style="12" customWidth="1"/>
    <col min="10" max="10" width="8.88671875" style="12" hidden="1" customWidth="1"/>
    <col min="11" max="11" width="15.109375" style="317" hidden="1" customWidth="1"/>
    <col min="12" max="12" width="11.33203125" style="34" hidden="1" customWidth="1"/>
    <col min="13" max="13" width="3.109375" style="34" customWidth="1"/>
    <col min="14" max="14" width="2.44140625" style="34" customWidth="1"/>
    <col min="15" max="15" width="8.88671875" style="34"/>
    <col min="16" max="16" width="12.21875" style="34" bestFit="1" customWidth="1"/>
    <col min="17" max="16384" width="8.88671875" style="34"/>
  </cols>
  <sheetData>
    <row r="1" spans="1:14" ht="20.100000000000001" customHeight="1">
      <c r="A1" s="1" t="str">
        <f>"[ 표 : "&amp;J1&amp;" ] "</f>
        <v xml:space="preserve">[ 표 : 4 ] </v>
      </c>
      <c r="B1" s="1"/>
      <c r="C1" s="1"/>
      <c r="D1" s="1"/>
      <c r="E1" s="1"/>
      <c r="F1" s="1"/>
      <c r="G1" s="589"/>
      <c r="H1" s="589"/>
      <c r="I1" s="589"/>
      <c r="J1" s="589">
        <f>'용역원가(25년) '!J1+1</f>
        <v>4</v>
      </c>
    </row>
    <row r="2" spans="1:14" s="36" customFormat="1" ht="26.25" customHeight="1">
      <c r="A2" s="35" t="s">
        <v>1350</v>
      </c>
      <c r="B2" s="35"/>
      <c r="C2" s="553"/>
      <c r="D2" s="553"/>
      <c r="E2" s="553"/>
      <c r="F2" s="553"/>
      <c r="G2" s="421"/>
      <c r="H2" s="421"/>
      <c r="I2" s="4"/>
      <c r="J2" s="5"/>
      <c r="K2" s="605"/>
    </row>
    <row r="3" spans="1:14" ht="10.5" customHeight="1">
      <c r="A3" s="606"/>
      <c r="B3" s="606"/>
      <c r="C3" s="606"/>
      <c r="D3" s="606"/>
      <c r="E3" s="606"/>
      <c r="F3" s="606"/>
      <c r="G3" s="607"/>
      <c r="H3" s="607"/>
      <c r="I3" s="67"/>
    </row>
    <row r="4" spans="1:14" ht="20.100000000000001" customHeight="1">
      <c r="A4" s="43"/>
      <c r="B4" s="43"/>
      <c r="C4" s="43"/>
      <c r="D4" s="43"/>
      <c r="G4" s="277"/>
      <c r="H4" s="277"/>
      <c r="I4" s="8" t="s">
        <v>306</v>
      </c>
    </row>
    <row r="5" spans="1:14" ht="20.25" customHeight="1">
      <c r="A5" s="608"/>
      <c r="B5" s="609"/>
      <c r="C5" s="609"/>
      <c r="D5" s="609"/>
      <c r="E5" s="610" t="s">
        <v>85</v>
      </c>
      <c r="F5" s="611"/>
      <c r="G5" s="1347" t="s">
        <v>312</v>
      </c>
      <c r="H5" s="1347" t="s">
        <v>313</v>
      </c>
      <c r="I5" s="1345" t="s">
        <v>86</v>
      </c>
    </row>
    <row r="6" spans="1:14" ht="20.25" customHeight="1">
      <c r="A6" s="612" t="s">
        <v>405</v>
      </c>
      <c r="B6" s="613"/>
      <c r="C6" s="614"/>
      <c r="D6" s="614"/>
      <c r="E6" s="615"/>
      <c r="F6" s="616"/>
      <c r="G6" s="1348"/>
      <c r="H6" s="1348"/>
      <c r="I6" s="1346"/>
    </row>
    <row r="7" spans="1:14" ht="17.100000000000001" customHeight="1">
      <c r="A7" s="1278" t="s">
        <v>520</v>
      </c>
      <c r="B7" s="1284" t="s">
        <v>87</v>
      </c>
      <c r="C7" s="1272" t="s">
        <v>88</v>
      </c>
      <c r="D7" s="1273"/>
      <c r="E7" s="1273"/>
      <c r="F7" s="1273"/>
      <c r="G7" s="617">
        <f>인건비집계!H25</f>
        <v>56955159</v>
      </c>
      <c r="H7" s="617">
        <f>TRUNC(G7*12)</f>
        <v>683461908</v>
      </c>
      <c r="I7" s="31"/>
      <c r="K7" s="317">
        <f>인건비집계!H25</f>
        <v>56955159</v>
      </c>
      <c r="L7" s="618">
        <f>G7-K7</f>
        <v>0</v>
      </c>
    </row>
    <row r="8" spans="1:14" ht="17.100000000000001" customHeight="1">
      <c r="A8" s="1279"/>
      <c r="B8" s="1285"/>
      <c r="C8" s="1287" t="s">
        <v>79</v>
      </c>
      <c r="D8" s="48"/>
      <c r="E8" s="619" t="s">
        <v>153</v>
      </c>
      <c r="F8" s="48"/>
      <c r="G8" s="620">
        <f>제수당집계!H25</f>
        <v>4364200</v>
      </c>
      <c r="H8" s="620">
        <f t="shared" ref="H8:H50" si="0">TRUNC(G8*12)</f>
        <v>52370400</v>
      </c>
      <c r="I8" s="276"/>
    </row>
    <row r="9" spans="1:14" ht="17.100000000000001" customHeight="1">
      <c r="A9" s="1279"/>
      <c r="B9" s="1285"/>
      <c r="C9" s="1288"/>
      <c r="D9" s="48"/>
      <c r="E9" s="619" t="s">
        <v>270</v>
      </c>
      <c r="F9" s="48"/>
      <c r="G9" s="617">
        <f>제수당집계!K25</f>
        <v>0</v>
      </c>
      <c r="H9" s="617">
        <f t="shared" si="0"/>
        <v>0</v>
      </c>
      <c r="I9" s="31"/>
    </row>
    <row r="10" spans="1:14" ht="17.100000000000001" customHeight="1">
      <c r="A10" s="1279"/>
      <c r="B10" s="1285"/>
      <c r="C10" s="1288"/>
      <c r="D10" s="48"/>
      <c r="E10" s="619" t="s">
        <v>276</v>
      </c>
      <c r="F10" s="48"/>
      <c r="G10" s="617">
        <f>제수당집계!N25</f>
        <v>8906100</v>
      </c>
      <c r="H10" s="617">
        <f t="shared" si="0"/>
        <v>106873200</v>
      </c>
      <c r="I10" s="31"/>
    </row>
    <row r="11" spans="1:14" ht="17.100000000000001" customHeight="1">
      <c r="A11" s="1279"/>
      <c r="B11" s="1285"/>
      <c r="C11" s="1289"/>
      <c r="D11" s="48"/>
      <c r="E11" s="619" t="s">
        <v>115</v>
      </c>
      <c r="F11" s="48"/>
      <c r="G11" s="617">
        <f>SUM(G8:G10)</f>
        <v>13270300</v>
      </c>
      <c r="H11" s="617">
        <f t="shared" si="0"/>
        <v>159243600</v>
      </c>
      <c r="I11" s="31"/>
      <c r="K11" s="317">
        <f>인건비집계!K25</f>
        <v>13270300</v>
      </c>
      <c r="L11" s="618">
        <f>G11-K11</f>
        <v>0</v>
      </c>
    </row>
    <row r="12" spans="1:14" ht="17.100000000000001" customHeight="1">
      <c r="A12" s="1279"/>
      <c r="B12" s="1285"/>
      <c r="C12" s="1268" t="s">
        <v>321</v>
      </c>
      <c r="D12" s="1266"/>
      <c r="E12" s="1266"/>
      <c r="F12" s="1266"/>
      <c r="G12" s="617">
        <f>인건비집계!N25</f>
        <v>18985047</v>
      </c>
      <c r="H12" s="617">
        <f t="shared" si="0"/>
        <v>227820564</v>
      </c>
      <c r="I12" s="266" t="str">
        <f>"기본급의 "&amp;단위당인건비!I5*100&amp;"% 적용"</f>
        <v>기본급의 400% 적용</v>
      </c>
      <c r="K12" s="317">
        <f>인건비집계!N25</f>
        <v>18985047</v>
      </c>
      <c r="L12" s="618">
        <f>G12-K12</f>
        <v>0</v>
      </c>
    </row>
    <row r="13" spans="1:14" ht="17.100000000000001" customHeight="1">
      <c r="A13" s="1279"/>
      <c r="B13" s="1285"/>
      <c r="C13" s="1268" t="s">
        <v>322</v>
      </c>
      <c r="D13" s="1266"/>
      <c r="E13" s="1266"/>
      <c r="F13" s="1266"/>
      <c r="G13" s="617">
        <f>인건비집계!Q25</f>
        <v>7434196</v>
      </c>
      <c r="H13" s="617">
        <f t="shared" si="0"/>
        <v>89210352</v>
      </c>
      <c r="I13" s="266" t="s">
        <v>305</v>
      </c>
      <c r="K13" s="317">
        <f>인건비집계!Q25</f>
        <v>7434196</v>
      </c>
      <c r="L13" s="618">
        <f>G13-K13</f>
        <v>0</v>
      </c>
    </row>
    <row r="14" spans="1:14" ht="17.100000000000001" customHeight="1" thickBot="1">
      <c r="A14" s="1279"/>
      <c r="B14" s="1286"/>
      <c r="C14" s="1272" t="s">
        <v>89</v>
      </c>
      <c r="D14" s="1273"/>
      <c r="E14" s="1273"/>
      <c r="F14" s="1273"/>
      <c r="G14" s="617">
        <f>SUM(G7,G11,G12,G13)</f>
        <v>96644702</v>
      </c>
      <c r="H14" s="617">
        <f t="shared" si="0"/>
        <v>1159736424</v>
      </c>
      <c r="I14" s="276" t="str">
        <f>인건비집계!$A$1&amp;"참조"</f>
        <v>[ 표 : 5 ] 참조</v>
      </c>
    </row>
    <row r="15" spans="1:14" ht="17.100000000000001" customHeight="1">
      <c r="A15" s="1279"/>
      <c r="B15" s="1290" t="s">
        <v>522</v>
      </c>
      <c r="C15" s="1284" t="s">
        <v>90</v>
      </c>
      <c r="D15" s="48"/>
      <c r="E15" s="621" t="s">
        <v>148</v>
      </c>
      <c r="F15" s="621"/>
      <c r="G15" s="622">
        <f>경비집계!F7</f>
        <v>802882</v>
      </c>
      <c r="H15" s="622">
        <f t="shared" si="0"/>
        <v>9634584</v>
      </c>
      <c r="I15" s="623" t="str">
        <f>"(기본급+제수당+상여금)×"&amp;J15&amp;"%"</f>
        <v>(기본급+제수당+상여금)×0.9%</v>
      </c>
      <c r="J15" s="624">
        <f>'고정)인적보험료'!M8</f>
        <v>0.9</v>
      </c>
      <c r="K15" s="317">
        <f>경비집계!F7</f>
        <v>802882</v>
      </c>
      <c r="L15" s="314">
        <f t="shared" ref="L15:L28" si="1">K15-G15</f>
        <v>0</v>
      </c>
      <c r="N15" s="658" t="s">
        <v>750</v>
      </c>
    </row>
    <row r="16" spans="1:14" ht="17.100000000000001" customHeight="1">
      <c r="A16" s="1279"/>
      <c r="B16" s="1288"/>
      <c r="C16" s="1291"/>
      <c r="D16" s="48"/>
      <c r="E16" s="621" t="s">
        <v>91</v>
      </c>
      <c r="F16" s="621"/>
      <c r="G16" s="622">
        <f>경비집계!F8</f>
        <v>4014456</v>
      </c>
      <c r="H16" s="622">
        <f t="shared" si="0"/>
        <v>48173472</v>
      </c>
      <c r="I16" s="623" t="str">
        <f>"(기본급+제수당+상여금)×"&amp;J16&amp;"%"</f>
        <v>(기본급+제수당+상여금)×4.5%</v>
      </c>
      <c r="J16" s="624">
        <f>'고정)인적보험료'!M9</f>
        <v>4.5</v>
      </c>
      <c r="K16" s="317">
        <f>경비집계!F8</f>
        <v>4014456</v>
      </c>
      <c r="L16" s="314">
        <f t="shared" si="1"/>
        <v>0</v>
      </c>
      <c r="N16" s="659">
        <f>H16*3</f>
        <v>144520416</v>
      </c>
    </row>
    <row r="17" spans="1:14" ht="17.100000000000001" customHeight="1">
      <c r="A17" s="1279"/>
      <c r="B17" s="1288"/>
      <c r="C17" s="1291"/>
      <c r="D17" s="48"/>
      <c r="E17" s="621" t="s">
        <v>92</v>
      </c>
      <c r="F17" s="621"/>
      <c r="G17" s="622">
        <f>경비집계!F9</f>
        <v>1025903</v>
      </c>
      <c r="H17" s="622">
        <f t="shared" si="0"/>
        <v>12310836</v>
      </c>
      <c r="I17" s="623" t="str">
        <f>"(기본급+제수당+상여금)×"&amp;J17&amp;"%"</f>
        <v>(기본급+제수당+상여금)×1.15%</v>
      </c>
      <c r="J17" s="624">
        <f>'고정)인적보험료'!M10</f>
        <v>1.1499999999999999</v>
      </c>
      <c r="K17" s="317">
        <f>경비집계!F9</f>
        <v>1025903</v>
      </c>
      <c r="L17" s="314">
        <f t="shared" si="1"/>
        <v>0</v>
      </c>
      <c r="N17" s="659"/>
    </row>
    <row r="18" spans="1:14" ht="17.100000000000001" customHeight="1">
      <c r="A18" s="1279"/>
      <c r="B18" s="1288"/>
      <c r="C18" s="1291"/>
      <c r="D18" s="48"/>
      <c r="E18" s="621" t="s">
        <v>93</v>
      </c>
      <c r="F18" s="621"/>
      <c r="G18" s="622">
        <f>경비집계!F10</f>
        <v>3162501</v>
      </c>
      <c r="H18" s="622">
        <f t="shared" si="0"/>
        <v>37950012</v>
      </c>
      <c r="I18" s="623" t="str">
        <f>"(기본급+제수당+상여금)×"&amp;J18&amp;"%"</f>
        <v>(기본급+제수당+상여금)×3.545%</v>
      </c>
      <c r="J18" s="624">
        <f>'고정)인적보험료'!M11</f>
        <v>3.5449999999999999</v>
      </c>
      <c r="K18" s="317">
        <f>경비집계!F10</f>
        <v>3162501</v>
      </c>
      <c r="L18" s="314">
        <f t="shared" si="1"/>
        <v>0</v>
      </c>
      <c r="N18" s="659">
        <f>H18*3</f>
        <v>113850036</v>
      </c>
    </row>
    <row r="19" spans="1:14" ht="17.100000000000001" customHeight="1" thickBot="1">
      <c r="A19" s="1279"/>
      <c r="B19" s="1288"/>
      <c r="C19" s="1291"/>
      <c r="D19" s="48"/>
      <c r="E19" s="621" t="s">
        <v>210</v>
      </c>
      <c r="F19" s="621"/>
      <c r="G19" s="622">
        <f>경비집계!F11</f>
        <v>405109</v>
      </c>
      <c r="H19" s="622">
        <f t="shared" si="0"/>
        <v>4861308</v>
      </c>
      <c r="I19" s="623" t="str">
        <f>"건강보험료×"&amp;J19&amp;"%"</f>
        <v>건강보험료×12.81%</v>
      </c>
      <c r="J19" s="624">
        <f>'고정)인적보험료'!M12</f>
        <v>12.81</v>
      </c>
      <c r="K19" s="317">
        <f>경비집계!F11</f>
        <v>405109</v>
      </c>
      <c r="L19" s="314">
        <f t="shared" si="1"/>
        <v>0</v>
      </c>
      <c r="N19" s="660">
        <f>H19*3</f>
        <v>14583924</v>
      </c>
    </row>
    <row r="20" spans="1:14" ht="17.100000000000001" customHeight="1">
      <c r="A20" s="1279"/>
      <c r="B20" s="1288"/>
      <c r="C20" s="1291"/>
      <c r="D20" s="48"/>
      <c r="E20" s="621" t="s">
        <v>94</v>
      </c>
      <c r="F20" s="621"/>
      <c r="G20" s="622">
        <f>경비집계!F12</f>
        <v>53511</v>
      </c>
      <c r="H20" s="622">
        <f>TRUNC(G20*12)</f>
        <v>642132</v>
      </c>
      <c r="I20" s="623" t="str">
        <f>"(기본급+제수당+상여금)×"&amp;J20&amp;"%"</f>
        <v>(기본급+제수당+상여금)×0.06%</v>
      </c>
      <c r="J20" s="624">
        <f>'고정)인적보험료'!M13</f>
        <v>0.06</v>
      </c>
      <c r="K20" s="317">
        <f>경비집계!F12</f>
        <v>53511</v>
      </c>
      <c r="L20" s="314">
        <f>K20-G20</f>
        <v>0</v>
      </c>
    </row>
    <row r="21" spans="1:14" ht="17.100000000000001" customHeight="1">
      <c r="A21" s="1279"/>
      <c r="B21" s="1288"/>
      <c r="C21" s="1291"/>
      <c r="D21" s="48"/>
      <c r="E21" s="621" t="s">
        <v>634</v>
      </c>
      <c r="F21" s="621"/>
      <c r="G21" s="622">
        <f>경비집계!F13</f>
        <v>3554</v>
      </c>
      <c r="H21" s="622">
        <f t="shared" si="0"/>
        <v>42648</v>
      </c>
      <c r="I21" s="623" t="str">
        <f>"(기본급+제수당+상여금)×"&amp;J21&amp;"%"</f>
        <v>(기본급+제수당+상여금)×0.004%</v>
      </c>
      <c r="J21" s="624">
        <f>'고정)인적보험료'!M14</f>
        <v>4.0000000000000001E-3</v>
      </c>
      <c r="K21" s="317">
        <f>경비집계!F13</f>
        <v>3554</v>
      </c>
      <c r="L21" s="314">
        <f t="shared" si="1"/>
        <v>0</v>
      </c>
    </row>
    <row r="22" spans="1:14" ht="17.100000000000001" customHeight="1">
      <c r="A22" s="1279"/>
      <c r="B22" s="1288"/>
      <c r="C22" s="1269" t="s">
        <v>176</v>
      </c>
      <c r="D22" s="1270"/>
      <c r="E22" s="1270"/>
      <c r="F22" s="1270"/>
      <c r="G22" s="622">
        <f>경비집계!F15</f>
        <v>4869242</v>
      </c>
      <c r="H22" s="622">
        <f t="shared" si="0"/>
        <v>58430904</v>
      </c>
      <c r="I22" s="625"/>
      <c r="K22" s="317">
        <f>경비집계!F15</f>
        <v>4869242</v>
      </c>
      <c r="L22" s="314">
        <f t="shared" si="1"/>
        <v>0</v>
      </c>
    </row>
    <row r="23" spans="1:14" ht="17.100000000000001" customHeight="1">
      <c r="A23" s="1279"/>
      <c r="B23" s="1288"/>
      <c r="C23" s="1269" t="s">
        <v>542</v>
      </c>
      <c r="D23" s="1270"/>
      <c r="E23" s="1270"/>
      <c r="F23" s="1270"/>
      <c r="G23" s="622">
        <f>경비집계!F16</f>
        <v>1797591.4571999998</v>
      </c>
      <c r="H23" s="622">
        <f t="shared" si="0"/>
        <v>21571097</v>
      </c>
      <c r="I23" s="625"/>
      <c r="K23" s="317">
        <f>경비집계!F16</f>
        <v>1797591.4571999998</v>
      </c>
      <c r="L23" s="314">
        <f t="shared" si="1"/>
        <v>0</v>
      </c>
    </row>
    <row r="24" spans="1:14" ht="17.100000000000001" customHeight="1">
      <c r="A24" s="1279"/>
      <c r="B24" s="1288"/>
      <c r="C24" s="1269" t="s">
        <v>543</v>
      </c>
      <c r="D24" s="1270"/>
      <c r="E24" s="1270"/>
      <c r="F24" s="1270"/>
      <c r="G24" s="622">
        <f>경비집계!F17</f>
        <v>167397</v>
      </c>
      <c r="H24" s="622">
        <f t="shared" si="0"/>
        <v>2008764</v>
      </c>
      <c r="I24" s="625"/>
      <c r="K24" s="317">
        <f>경비집계!F17</f>
        <v>167397</v>
      </c>
      <c r="L24" s="314">
        <f t="shared" si="1"/>
        <v>0</v>
      </c>
    </row>
    <row r="25" spans="1:14" ht="17.100000000000001" customHeight="1">
      <c r="A25" s="1279"/>
      <c r="B25" s="1288"/>
      <c r="C25" s="1269" t="s">
        <v>544</v>
      </c>
      <c r="D25" s="1270"/>
      <c r="E25" s="1270"/>
      <c r="F25" s="1270"/>
      <c r="G25" s="622">
        <f>경비집계!F18</f>
        <v>627434</v>
      </c>
      <c r="H25" s="622">
        <f t="shared" si="0"/>
        <v>7529208</v>
      </c>
      <c r="I25" s="625"/>
      <c r="K25" s="317">
        <f>경비집계!F18</f>
        <v>627434</v>
      </c>
      <c r="L25" s="314">
        <f t="shared" si="1"/>
        <v>0</v>
      </c>
    </row>
    <row r="26" spans="1:14" ht="17.100000000000001" customHeight="1">
      <c r="A26" s="1279"/>
      <c r="B26" s="1288"/>
      <c r="C26" s="1269" t="s">
        <v>548</v>
      </c>
      <c r="D26" s="1270"/>
      <c r="E26" s="1270"/>
      <c r="F26" s="1270"/>
      <c r="G26" s="622">
        <f>경비집계!F19</f>
        <v>95661</v>
      </c>
      <c r="H26" s="622">
        <f t="shared" si="0"/>
        <v>1147932</v>
      </c>
      <c r="I26" s="625"/>
      <c r="K26" s="317">
        <f>경비집계!F19</f>
        <v>95661</v>
      </c>
      <c r="L26" s="314">
        <f t="shared" si="1"/>
        <v>0</v>
      </c>
    </row>
    <row r="27" spans="1:14" ht="17.100000000000001" customHeight="1">
      <c r="A27" s="1279"/>
      <c r="B27" s="1288"/>
      <c r="C27" s="1269" t="s">
        <v>545</v>
      </c>
      <c r="D27" s="1270"/>
      <c r="E27" s="1270"/>
      <c r="F27" s="1270"/>
      <c r="G27" s="622">
        <f>경비집계!F20</f>
        <v>173066</v>
      </c>
      <c r="H27" s="622">
        <f t="shared" si="0"/>
        <v>2076792</v>
      </c>
      <c r="I27" s="625"/>
      <c r="K27" s="317">
        <f>경비집계!F20</f>
        <v>173066</v>
      </c>
      <c r="L27" s="314">
        <f t="shared" si="1"/>
        <v>0</v>
      </c>
    </row>
    <row r="28" spans="1:14" ht="17.100000000000001" customHeight="1">
      <c r="A28" s="1279"/>
      <c r="B28" s="1289"/>
      <c r="C28" s="1272" t="s">
        <v>89</v>
      </c>
      <c r="D28" s="1273"/>
      <c r="E28" s="1273"/>
      <c r="F28" s="1273"/>
      <c r="G28" s="622">
        <f>SUM(G15:G27)</f>
        <v>17198307.457199998</v>
      </c>
      <c r="H28" s="622">
        <f>SUM(H15:H27)</f>
        <v>206379689</v>
      </c>
      <c r="I28" s="625" t="str">
        <f>경비집계!$A$1&amp;"참조"</f>
        <v>[ 표 : 16 ] 참조</v>
      </c>
      <c r="K28" s="317">
        <f>경비집계!F22</f>
        <v>17198307.457199998</v>
      </c>
      <c r="L28" s="314">
        <f t="shared" si="1"/>
        <v>0</v>
      </c>
    </row>
    <row r="29" spans="1:14" ht="17.100000000000001" customHeight="1">
      <c r="A29" s="1279"/>
      <c r="B29" s="1268" t="s">
        <v>347</v>
      </c>
      <c r="C29" s="1266"/>
      <c r="D29" s="1266"/>
      <c r="E29" s="1266"/>
      <c r="F29" s="1267"/>
      <c r="G29" s="622">
        <f>SUM(G14,G28)</f>
        <v>113843009.45719999</v>
      </c>
      <c r="H29" s="622">
        <f t="shared" si="0"/>
        <v>1366116113</v>
      </c>
      <c r="I29" s="625" t="s">
        <v>406</v>
      </c>
    </row>
    <row r="30" spans="1:14" ht="17.100000000000001" customHeight="1">
      <c r="A30" s="1279"/>
      <c r="B30" s="1268" t="str">
        <f>"일반관리비("&amp;J30&amp;"%)"</f>
        <v>일반관리비(9%)</v>
      </c>
      <c r="C30" s="1266"/>
      <c r="D30" s="1266"/>
      <c r="E30" s="1266"/>
      <c r="F30" s="1267"/>
      <c r="G30" s="622">
        <f>TRUNC(G29*$J$30%,0)</f>
        <v>10245870</v>
      </c>
      <c r="H30" s="622">
        <f t="shared" si="0"/>
        <v>122950440</v>
      </c>
      <c r="I30" s="623" t="str">
        <f>"순용역원가×"&amp;J30&amp;"%"</f>
        <v>순용역원가×9%</v>
      </c>
      <c r="J30" s="12">
        <v>9</v>
      </c>
      <c r="K30" s="317">
        <f>일반관리비!F10</f>
        <v>10245870</v>
      </c>
      <c r="L30" s="314">
        <f>K30-G30</f>
        <v>0</v>
      </c>
    </row>
    <row r="31" spans="1:14" ht="17.100000000000001" customHeight="1">
      <c r="A31" s="1279"/>
      <c r="B31" s="1268" t="str">
        <f>"이윤("&amp;J31&amp;"%)"</f>
        <v>이윤(10%)</v>
      </c>
      <c r="C31" s="1266"/>
      <c r="D31" s="1266"/>
      <c r="E31" s="1266"/>
      <c r="F31" s="1267"/>
      <c r="G31" s="622">
        <f>TRUNC((SUM(G14,G28,G30))*$J$31%,0)</f>
        <v>12408887</v>
      </c>
      <c r="H31" s="622">
        <f t="shared" si="0"/>
        <v>148906644</v>
      </c>
      <c r="I31" s="623" t="str">
        <f>"(순용역원가+일반관리비)×"&amp;J31&amp;"%"</f>
        <v>(순용역원가+일반관리비)×10%</v>
      </c>
      <c r="J31" s="12">
        <f>용역원가집계!H5</f>
        <v>10</v>
      </c>
      <c r="K31" s="317">
        <f>이윤!G10</f>
        <v>12408887</v>
      </c>
      <c r="L31" s="314">
        <f>K31-G31</f>
        <v>0</v>
      </c>
    </row>
    <row r="32" spans="1:14" ht="17.100000000000001" customHeight="1">
      <c r="A32" s="1279"/>
      <c r="B32" s="1268" t="s">
        <v>348</v>
      </c>
      <c r="C32" s="1266"/>
      <c r="D32" s="1266"/>
      <c r="E32" s="1266"/>
      <c r="F32" s="1267"/>
      <c r="G32" s="622">
        <f>SUM(G29:G31)</f>
        <v>136497766.45719999</v>
      </c>
      <c r="H32" s="622">
        <f t="shared" si="0"/>
        <v>1637973197</v>
      </c>
      <c r="I32" s="625" t="s">
        <v>272</v>
      </c>
    </row>
    <row r="33" spans="1:16" ht="17.100000000000001" customHeight="1">
      <c r="A33" s="1279"/>
      <c r="B33" s="1268" t="s">
        <v>349</v>
      </c>
      <c r="C33" s="1266"/>
      <c r="D33" s="1266"/>
      <c r="E33" s="1266"/>
      <c r="F33" s="1267"/>
      <c r="G33" s="622">
        <f>TRUNC((G32)*10%,0)</f>
        <v>13649776</v>
      </c>
      <c r="H33" s="622">
        <f t="shared" si="0"/>
        <v>163797312</v>
      </c>
      <c r="I33" s="625" t="s">
        <v>525</v>
      </c>
    </row>
    <row r="34" spans="1:16" ht="17.100000000000001" customHeight="1">
      <c r="A34" s="1280"/>
      <c r="B34" s="1268" t="s">
        <v>519</v>
      </c>
      <c r="C34" s="1266"/>
      <c r="D34" s="1266"/>
      <c r="E34" s="1266"/>
      <c r="F34" s="1267"/>
      <c r="G34" s="622">
        <f>SUM(G32:G33)</f>
        <v>150147542.45719999</v>
      </c>
      <c r="H34" s="622">
        <f t="shared" si="0"/>
        <v>1801770509</v>
      </c>
      <c r="I34" s="625" t="s">
        <v>273</v>
      </c>
      <c r="N34" s="618">
        <f>H34*3</f>
        <v>5405311527</v>
      </c>
      <c r="P34" s="39"/>
    </row>
    <row r="35" spans="1:16" ht="17.100000000000001" customHeight="1">
      <c r="A35" s="1278" t="s">
        <v>521</v>
      </c>
      <c r="B35" s="1281" t="s">
        <v>547</v>
      </c>
      <c r="C35" s="1269" t="s">
        <v>535</v>
      </c>
      <c r="D35" s="1270"/>
      <c r="E35" s="1270"/>
      <c r="F35" s="1270"/>
      <c r="G35" s="622">
        <f>경비집계!F23</f>
        <v>2250000</v>
      </c>
      <c r="H35" s="622">
        <f>'변동)소모자재비'!H13</f>
        <v>27000000</v>
      </c>
      <c r="I35" s="625"/>
      <c r="K35" s="317">
        <f>경비집계!F23</f>
        <v>2250000</v>
      </c>
      <c r="L35" s="314">
        <f>K35-G35</f>
        <v>0</v>
      </c>
    </row>
    <row r="36" spans="1:16" ht="17.100000000000001" customHeight="1">
      <c r="A36" s="1279"/>
      <c r="B36" s="1282"/>
      <c r="C36" s="1269" t="s">
        <v>577</v>
      </c>
      <c r="D36" s="1270"/>
      <c r="E36" s="1270"/>
      <c r="F36" s="1270"/>
      <c r="G36" s="622">
        <f>'변동)수선유지비'!AE31</f>
        <v>49653333</v>
      </c>
      <c r="H36" s="622">
        <f>'변동)수선유지비'!AE30</f>
        <v>595840000</v>
      </c>
      <c r="I36" s="625"/>
      <c r="K36" s="317">
        <f>경비집계!F24</f>
        <v>52986666</v>
      </c>
      <c r="L36" s="314">
        <f t="shared" ref="L36:L42" si="2">K36-G36</f>
        <v>3333333</v>
      </c>
    </row>
    <row r="37" spans="1:16" ht="17.100000000000001" customHeight="1">
      <c r="A37" s="1279"/>
      <c r="B37" s="1282"/>
      <c r="C37" s="1269" t="s">
        <v>536</v>
      </c>
      <c r="D37" s="1270"/>
      <c r="E37" s="1270"/>
      <c r="F37" s="1270"/>
      <c r="G37" s="622">
        <f>경비집계!F25</f>
        <v>150263</v>
      </c>
      <c r="H37" s="622">
        <f>'변동)측정검사수수료'!H12</f>
        <v>1803166</v>
      </c>
      <c r="I37" s="625"/>
      <c r="K37" s="317">
        <f>경비집계!F25</f>
        <v>150263</v>
      </c>
      <c r="L37" s="314">
        <f t="shared" si="2"/>
        <v>0</v>
      </c>
    </row>
    <row r="38" spans="1:16" ht="17.100000000000001" customHeight="1">
      <c r="A38" s="1279"/>
      <c r="B38" s="1282"/>
      <c r="C38" s="1269" t="s">
        <v>656</v>
      </c>
      <c r="D38" s="1270"/>
      <c r="E38" s="1270"/>
      <c r="F38" s="1270"/>
      <c r="G38" s="622">
        <f>경비집계!F26</f>
        <v>2440000</v>
      </c>
      <c r="H38" s="622">
        <f>'변동)안전점검대행비'!H14</f>
        <v>29280000</v>
      </c>
      <c r="I38" s="625"/>
      <c r="K38" s="317">
        <f>경비집계!F26</f>
        <v>2440000</v>
      </c>
      <c r="L38" s="314">
        <f t="shared" si="2"/>
        <v>0</v>
      </c>
    </row>
    <row r="39" spans="1:16" ht="17.100000000000001" customHeight="1">
      <c r="A39" s="1279"/>
      <c r="B39" s="1282"/>
      <c r="C39" s="1269" t="s">
        <v>537</v>
      </c>
      <c r="D39" s="1270"/>
      <c r="E39" s="1270"/>
      <c r="F39" s="1270"/>
      <c r="G39" s="622">
        <f>경비집계!F27</f>
        <v>4939000</v>
      </c>
      <c r="H39" s="622">
        <f>'변동)차량유지비'!H15</f>
        <v>59268000</v>
      </c>
      <c r="I39" s="625"/>
      <c r="K39" s="317">
        <f>경비집계!F27</f>
        <v>4939000</v>
      </c>
      <c r="L39" s="314">
        <f t="shared" si="2"/>
        <v>0</v>
      </c>
    </row>
    <row r="40" spans="1:16" ht="17.100000000000001" customHeight="1">
      <c r="A40" s="1279"/>
      <c r="B40" s="1282"/>
      <c r="C40" s="1269" t="s">
        <v>538</v>
      </c>
      <c r="D40" s="1270"/>
      <c r="E40" s="1270"/>
      <c r="F40" s="1270"/>
      <c r="G40" s="622">
        <f>경비집계!F28</f>
        <v>520000</v>
      </c>
      <c r="H40" s="622">
        <f>'변동)보안관리비'!H11</f>
        <v>6240000</v>
      </c>
      <c r="I40" s="625"/>
      <c r="K40" s="317">
        <f>경비집계!F28</f>
        <v>520000</v>
      </c>
      <c r="L40" s="314">
        <f t="shared" si="2"/>
        <v>0</v>
      </c>
    </row>
    <row r="41" spans="1:16" s="275" customFormat="1" ht="17.100000000000001" customHeight="1">
      <c r="A41" s="1279"/>
      <c r="B41" s="1282"/>
      <c r="C41" s="1269" t="s">
        <v>744</v>
      </c>
      <c r="D41" s="1270"/>
      <c r="E41" s="1270"/>
      <c r="F41" s="1270"/>
      <c r="G41" s="622">
        <f>경비집계!F29</f>
        <v>5808711.0084666656</v>
      </c>
      <c r="H41" s="622">
        <f>'변동)수집운반비'!E12</f>
        <v>69704532.101599991</v>
      </c>
      <c r="I41" s="625" t="s">
        <v>1357</v>
      </c>
      <c r="K41" s="626">
        <f>경비집계!F29</f>
        <v>5808711.0084666656</v>
      </c>
      <c r="L41" s="627">
        <f>K41-G41</f>
        <v>0</v>
      </c>
    </row>
    <row r="42" spans="1:16" ht="17.100000000000001" customHeight="1">
      <c r="A42" s="1279"/>
      <c r="B42" s="1282"/>
      <c r="C42" s="1272" t="s">
        <v>89</v>
      </c>
      <c r="D42" s="1273"/>
      <c r="E42" s="1273"/>
      <c r="F42" s="1274"/>
      <c r="G42" s="622">
        <f>SUM(G35:G41)</f>
        <v>65761307.008466668</v>
      </c>
      <c r="H42" s="622">
        <f t="shared" si="0"/>
        <v>789135684</v>
      </c>
      <c r="I42" s="625" t="str">
        <f>경비집계!$A$1&amp;"참조"</f>
        <v>[ 표 : 16 ] 참조</v>
      </c>
      <c r="K42" s="317">
        <f>경비집계!F30</f>
        <v>69094640.008466661</v>
      </c>
      <c r="L42" s="314">
        <f t="shared" si="2"/>
        <v>3333332.9999999925</v>
      </c>
    </row>
    <row r="43" spans="1:16" ht="17.100000000000001" customHeight="1">
      <c r="A43" s="1279"/>
      <c r="B43" s="1282"/>
      <c r="C43" s="1268" t="s">
        <v>526</v>
      </c>
      <c r="D43" s="1266"/>
      <c r="E43" s="1266"/>
      <c r="F43" s="1267"/>
      <c r="G43" s="622">
        <f>SUM(G42)</f>
        <v>65761307.008466668</v>
      </c>
      <c r="H43" s="622">
        <f t="shared" si="0"/>
        <v>789135684</v>
      </c>
      <c r="I43" s="625" t="s">
        <v>523</v>
      </c>
    </row>
    <row r="44" spans="1:16" ht="17.100000000000001" customHeight="1">
      <c r="A44" s="1279"/>
      <c r="B44" s="1282"/>
      <c r="C44" s="1268" t="s">
        <v>349</v>
      </c>
      <c r="D44" s="1266"/>
      <c r="E44" s="1266"/>
      <c r="F44" s="1267"/>
      <c r="G44" s="622">
        <f>TRUNC(G43*10%,0)</f>
        <v>6576130</v>
      </c>
      <c r="H44" s="622">
        <f>TRUNC(H43*10%,0)</f>
        <v>78913568</v>
      </c>
      <c r="I44" s="625" t="s">
        <v>525</v>
      </c>
    </row>
    <row r="45" spans="1:16" ht="17.100000000000001" customHeight="1">
      <c r="A45" s="1279"/>
      <c r="B45" s="1283"/>
      <c r="C45" s="1268" t="s">
        <v>546</v>
      </c>
      <c r="D45" s="1266"/>
      <c r="E45" s="1266"/>
      <c r="F45" s="1267"/>
      <c r="G45" s="622">
        <f>SUM(G43:G44)</f>
        <v>72337437.008466661</v>
      </c>
      <c r="H45" s="622">
        <f t="shared" si="0"/>
        <v>868049244</v>
      </c>
      <c r="I45" s="625" t="s">
        <v>273</v>
      </c>
    </row>
    <row r="46" spans="1:16" ht="17.100000000000001" customHeight="1">
      <c r="A46" s="1279"/>
      <c r="B46" s="1275" t="s">
        <v>551</v>
      </c>
      <c r="C46" s="1269" t="s">
        <v>539</v>
      </c>
      <c r="D46" s="1270"/>
      <c r="E46" s="1270"/>
      <c r="F46" s="1270"/>
      <c r="G46" s="617">
        <f>'용역원가(25년) '!G47*(1+0.05)</f>
        <v>148744451.20500001</v>
      </c>
      <c r="H46" s="617">
        <f>'36개월총괄'!J44</f>
        <v>1784933426.5875001</v>
      </c>
      <c r="I46" s="276"/>
      <c r="K46" s="317">
        <f>경비집계!F31</f>
        <v>134915602</v>
      </c>
      <c r="L46" s="314">
        <f>K46-G46</f>
        <v>-13828849.205000013</v>
      </c>
    </row>
    <row r="47" spans="1:16" ht="17.100000000000001" customHeight="1">
      <c r="A47" s="1279"/>
      <c r="B47" s="1276"/>
      <c r="C47" s="1269" t="s">
        <v>540</v>
      </c>
      <c r="D47" s="1270"/>
      <c r="E47" s="1270"/>
      <c r="F47" s="1270"/>
      <c r="G47" s="617">
        <f>경비집계!F32</f>
        <v>3641717</v>
      </c>
      <c r="H47" s="617">
        <f>'변동-대)수도광열비'!H17</f>
        <v>43700610</v>
      </c>
      <c r="I47" s="276"/>
      <c r="K47" s="317">
        <f>경비집계!F32</f>
        <v>3641717</v>
      </c>
      <c r="L47" s="314">
        <f>K47-G47</f>
        <v>0</v>
      </c>
    </row>
    <row r="48" spans="1:16" ht="17.100000000000001" customHeight="1">
      <c r="A48" s="1279"/>
      <c r="B48" s="1276"/>
      <c r="C48" s="1269" t="s">
        <v>541</v>
      </c>
      <c r="D48" s="1270"/>
      <c r="E48" s="1270"/>
      <c r="F48" s="1270"/>
      <c r="G48" s="617">
        <f>경비집계!F33</f>
        <v>5832292</v>
      </c>
      <c r="H48" s="617">
        <f>'변동-대)시설물보험료'!H17</f>
        <v>69987500</v>
      </c>
      <c r="I48" s="276"/>
      <c r="J48" s="12" t="s">
        <v>559</v>
      </c>
      <c r="K48" s="317">
        <f>경비집계!F33</f>
        <v>5832292</v>
      </c>
      <c r="L48" s="314">
        <f>K48-G48</f>
        <v>0</v>
      </c>
    </row>
    <row r="49" spans="1:16" ht="17.100000000000001" customHeight="1">
      <c r="A49" s="1279"/>
      <c r="B49" s="1277"/>
      <c r="C49" s="1269" t="s">
        <v>546</v>
      </c>
      <c r="D49" s="1270"/>
      <c r="E49" s="1270"/>
      <c r="F49" s="1270"/>
      <c r="G49" s="617">
        <f>SUM(G46:G48)</f>
        <v>158218460.20500001</v>
      </c>
      <c r="H49" s="617">
        <f t="shared" si="0"/>
        <v>1898621522</v>
      </c>
      <c r="I49" s="276" t="str">
        <f>경비집계!$A$1&amp;"참조"</f>
        <v>[ 표 : 16 ] 참조</v>
      </c>
      <c r="K49" s="317">
        <f>SUM(K46:K48)</f>
        <v>144389611</v>
      </c>
      <c r="L49" s="314">
        <f>K49-G49</f>
        <v>-13828849.205000013</v>
      </c>
    </row>
    <row r="50" spans="1:16" ht="17.100000000000001" customHeight="1">
      <c r="A50" s="1280"/>
      <c r="B50" s="1266" t="s">
        <v>524</v>
      </c>
      <c r="C50" s="1266"/>
      <c r="D50" s="1266"/>
      <c r="E50" s="1266"/>
      <c r="F50" s="1267"/>
      <c r="G50" s="617">
        <f>SUM(G45,G49)</f>
        <v>230555897.21346667</v>
      </c>
      <c r="H50" s="617">
        <f t="shared" si="0"/>
        <v>2766670766</v>
      </c>
      <c r="I50" s="276" t="s">
        <v>552</v>
      </c>
      <c r="L50" s="314"/>
      <c r="N50" s="618">
        <f>H50*3</f>
        <v>8300012298</v>
      </c>
      <c r="P50" s="39"/>
    </row>
    <row r="51" spans="1:16" ht="17.100000000000001" customHeight="1">
      <c r="A51" s="1268" t="s">
        <v>529</v>
      </c>
      <c r="B51" s="1266"/>
      <c r="C51" s="1266"/>
      <c r="D51" s="1266"/>
      <c r="E51" s="1266"/>
      <c r="F51" s="1267"/>
      <c r="G51" s="617">
        <f>TRUNC(SUM(G50,G34),-3)</f>
        <v>380703000</v>
      </c>
      <c r="H51" s="617">
        <f>TRUNC(H34+H50,-3)</f>
        <v>4568441000</v>
      </c>
      <c r="I51" s="276" t="s">
        <v>530</v>
      </c>
      <c r="N51" s="618">
        <f>H51*3</f>
        <v>13705323000</v>
      </c>
    </row>
  </sheetData>
  <mergeCells count="45">
    <mergeCell ref="B50:F50"/>
    <mergeCell ref="A51:F51"/>
    <mergeCell ref="C43:F43"/>
    <mergeCell ref="C44:F44"/>
    <mergeCell ref="C45:F45"/>
    <mergeCell ref="B46:B49"/>
    <mergeCell ref="C46:F46"/>
    <mergeCell ref="C47:F47"/>
    <mergeCell ref="C48:F48"/>
    <mergeCell ref="C49:F49"/>
    <mergeCell ref="A35:A50"/>
    <mergeCell ref="B35:B45"/>
    <mergeCell ref="C35:F35"/>
    <mergeCell ref="C36:F36"/>
    <mergeCell ref="C37:F37"/>
    <mergeCell ref="C38:F38"/>
    <mergeCell ref="C41:F41"/>
    <mergeCell ref="C42:F42"/>
    <mergeCell ref="B29:F29"/>
    <mergeCell ref="B30:F30"/>
    <mergeCell ref="B31:F31"/>
    <mergeCell ref="B32:F32"/>
    <mergeCell ref="B33:F33"/>
    <mergeCell ref="B34:F34"/>
    <mergeCell ref="C26:F26"/>
    <mergeCell ref="C27:F27"/>
    <mergeCell ref="C28:F28"/>
    <mergeCell ref="C39:F39"/>
    <mergeCell ref="C40:F40"/>
    <mergeCell ref="G5:G6"/>
    <mergeCell ref="H5:H6"/>
    <mergeCell ref="I5:I6"/>
    <mergeCell ref="A7:A34"/>
    <mergeCell ref="B7:B14"/>
    <mergeCell ref="C7:F7"/>
    <mergeCell ref="C8:C11"/>
    <mergeCell ref="C12:F12"/>
    <mergeCell ref="C13:F13"/>
    <mergeCell ref="C14:F14"/>
    <mergeCell ref="B15:B28"/>
    <mergeCell ref="C15:C21"/>
    <mergeCell ref="C22:F22"/>
    <mergeCell ref="C23:F23"/>
    <mergeCell ref="C24:F24"/>
    <mergeCell ref="C25:F2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9" firstPageNumber="141" orientation="portrait" r:id="rId1"/>
  <headerFooter alignWithMargins="0">
    <oddFooter>&amp;C&amp;"바탕체,보통"&amp;12- &amp;P -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showZeros="0" view="pageBreakPreview" topLeftCell="A9" zoomScaleNormal="80" zoomScaleSheetLayoutView="100" workbookViewId="0">
      <selection activeCell="AD25" sqref="AD25"/>
    </sheetView>
  </sheetViews>
  <sheetFormatPr defaultRowHeight="12"/>
  <cols>
    <col min="1" max="1" width="11.21875" style="12" customWidth="1"/>
    <col min="2" max="2" width="12.88671875" style="12" customWidth="1"/>
    <col min="3" max="3" width="1.5546875" style="12" customWidth="1"/>
    <col min="4" max="4" width="14.6640625" style="12" customWidth="1"/>
    <col min="5" max="5" width="1.5546875" style="12" customWidth="1"/>
    <col min="6" max="6" width="9.77734375" style="317" customWidth="1"/>
    <col min="7" max="7" width="5.77734375" style="317" bestFit="1" customWidth="1"/>
    <col min="8" max="8" width="11.109375" style="317" bestFit="1" customWidth="1"/>
    <col min="9" max="9" width="9.77734375" style="317" customWidth="1"/>
    <col min="10" max="10" width="5.77734375" style="317" bestFit="1" customWidth="1"/>
    <col min="11" max="11" width="10.109375" style="317" bestFit="1" customWidth="1"/>
    <col min="12" max="12" width="9.77734375" style="317" customWidth="1"/>
    <col min="13" max="13" width="5.77734375" style="317" bestFit="1" customWidth="1"/>
    <col min="14" max="14" width="10.109375" style="317" bestFit="1" customWidth="1"/>
    <col min="15" max="15" width="9.77734375" style="317" customWidth="1"/>
    <col min="16" max="16" width="5.77734375" style="317" customWidth="1"/>
    <col min="17" max="17" width="10.109375" style="317" bestFit="1" customWidth="1"/>
    <col min="18" max="18" width="9.77734375" style="317" customWidth="1"/>
    <col min="19" max="19" width="5" style="317" bestFit="1" customWidth="1"/>
    <col min="20" max="20" width="11.109375" style="317" bestFit="1" customWidth="1"/>
    <col min="21" max="21" width="5.88671875" style="317" hidden="1" customWidth="1"/>
    <col min="22" max="22" width="8.88671875" style="317" hidden="1" customWidth="1"/>
    <col min="23" max="24" width="8.88671875" style="12" hidden="1" customWidth="1"/>
    <col min="25" max="26" width="9" style="12" hidden="1" customWidth="1"/>
    <col min="27" max="27" width="10.77734375" style="12" hidden="1" customWidth="1"/>
    <col min="28" max="28" width="9.88671875" style="12" hidden="1" customWidth="1"/>
    <col min="29" max="29" width="10.77734375" style="12" hidden="1" customWidth="1"/>
    <col min="30" max="30" width="8.88671875" style="12" customWidth="1"/>
    <col min="31" max="16384" width="8.88671875" style="12"/>
  </cols>
  <sheetData>
    <row r="1" spans="1:29" ht="20.100000000000001" customHeight="1">
      <c r="A1" s="1" t="str">
        <f>"[ 표 : "&amp;U1&amp;" ] "</f>
        <v xml:space="preserve">[ 표 : 5 ] </v>
      </c>
      <c r="B1" s="33"/>
      <c r="C1" s="33"/>
      <c r="D1" s="33"/>
      <c r="E1" s="33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>
        <f>'용역원가(26년)'!J1+1</f>
        <v>5</v>
      </c>
      <c r="V1" s="589"/>
    </row>
    <row r="2" spans="1:29" s="5" customFormat="1" ht="30" customHeight="1">
      <c r="A2" s="4" t="s">
        <v>117</v>
      </c>
      <c r="B2" s="4"/>
      <c r="C2" s="4"/>
      <c r="D2" s="4"/>
      <c r="E2" s="4"/>
      <c r="F2" s="590"/>
      <c r="G2" s="591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0"/>
      <c r="V2" s="591"/>
    </row>
    <row r="3" spans="1:29" ht="9.9499999999999993" customHeight="1">
      <c r="A3" s="67"/>
      <c r="B3" s="67"/>
      <c r="C3" s="67"/>
      <c r="D3" s="67"/>
      <c r="E3" s="67"/>
      <c r="F3" s="592"/>
      <c r="G3" s="589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92"/>
      <c r="V3" s="589"/>
    </row>
    <row r="4" spans="1:29" ht="20.100000000000001" customHeight="1">
      <c r="A4" s="69"/>
      <c r="B4" s="69"/>
      <c r="C4" s="69"/>
      <c r="D4" s="69"/>
      <c r="E4" s="6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93" t="s">
        <v>168</v>
      </c>
      <c r="U4" s="12"/>
      <c r="V4" s="589"/>
    </row>
    <row r="5" spans="1:29" s="3" customFormat="1" ht="24.95" customHeight="1">
      <c r="A5" s="1339" t="s">
        <v>205</v>
      </c>
      <c r="B5" s="1339" t="s">
        <v>167</v>
      </c>
      <c r="C5" s="1351"/>
      <c r="D5" s="1349" t="s">
        <v>118</v>
      </c>
      <c r="E5" s="1358"/>
      <c r="F5" s="1353" t="s">
        <v>119</v>
      </c>
      <c r="G5" s="1354"/>
      <c r="H5" s="1355"/>
      <c r="I5" s="1353" t="s">
        <v>79</v>
      </c>
      <c r="J5" s="1354"/>
      <c r="K5" s="1355"/>
      <c r="L5" s="1353" t="s">
        <v>80</v>
      </c>
      <c r="M5" s="1354"/>
      <c r="N5" s="1355"/>
      <c r="O5" s="1353" t="s">
        <v>109</v>
      </c>
      <c r="P5" s="1354"/>
      <c r="Q5" s="1355"/>
      <c r="R5" s="1353" t="s">
        <v>81</v>
      </c>
      <c r="S5" s="1354"/>
      <c r="T5" s="1355"/>
      <c r="U5" s="1356" t="s">
        <v>152</v>
      </c>
      <c r="V5" s="594"/>
    </row>
    <row r="6" spans="1:29" s="3" customFormat="1" ht="24.95" customHeight="1">
      <c r="A6" s="1340"/>
      <c r="B6" s="1340"/>
      <c r="C6" s="1352"/>
      <c r="D6" s="1350"/>
      <c r="E6" s="1359"/>
      <c r="F6" s="29" t="s">
        <v>82</v>
      </c>
      <c r="G6" s="29" t="s">
        <v>83</v>
      </c>
      <c r="H6" s="29" t="s">
        <v>84</v>
      </c>
      <c r="I6" s="29" t="s">
        <v>82</v>
      </c>
      <c r="J6" s="29" t="s">
        <v>83</v>
      </c>
      <c r="K6" s="29" t="s">
        <v>84</v>
      </c>
      <c r="L6" s="29" t="s">
        <v>82</v>
      </c>
      <c r="M6" s="29" t="s">
        <v>83</v>
      </c>
      <c r="N6" s="29" t="s">
        <v>84</v>
      </c>
      <c r="O6" s="29" t="s">
        <v>82</v>
      </c>
      <c r="P6" s="29" t="s">
        <v>83</v>
      </c>
      <c r="Q6" s="29" t="s">
        <v>84</v>
      </c>
      <c r="R6" s="29" t="s">
        <v>82</v>
      </c>
      <c r="S6" s="29" t="s">
        <v>83</v>
      </c>
      <c r="T6" s="29" t="s">
        <v>84</v>
      </c>
      <c r="U6" s="1357"/>
      <c r="V6" s="594"/>
    </row>
    <row r="7" spans="1:29" s="3" customFormat="1" ht="31.5" customHeight="1">
      <c r="A7" s="15"/>
      <c r="B7" s="15"/>
      <c r="C7" s="364"/>
      <c r="D7" s="395"/>
      <c r="E7" s="396"/>
      <c r="F7" s="29" t="s">
        <v>136</v>
      </c>
      <c r="G7" s="29" t="s">
        <v>137</v>
      </c>
      <c r="H7" s="29"/>
      <c r="I7" s="29" t="s">
        <v>136</v>
      </c>
      <c r="J7" s="29" t="s">
        <v>137</v>
      </c>
      <c r="K7" s="29"/>
      <c r="L7" s="29" t="s">
        <v>136</v>
      </c>
      <c r="M7" s="29" t="s">
        <v>137</v>
      </c>
      <c r="N7" s="29"/>
      <c r="O7" s="29" t="s">
        <v>136</v>
      </c>
      <c r="P7" s="29" t="s">
        <v>137</v>
      </c>
      <c r="Q7" s="29"/>
      <c r="R7" s="29"/>
      <c r="S7" s="29"/>
      <c r="T7" s="29"/>
      <c r="U7" s="600"/>
      <c r="V7" s="21"/>
    </row>
    <row r="8" spans="1:29" ht="31.5" customHeight="1">
      <c r="A8" s="22" t="str">
        <f>IF(월기본급!A8="","",월기본급!A8)</f>
        <v>관리팀</v>
      </c>
      <c r="B8" s="23" t="str">
        <f>IF(월기본급!B8="","",월기본급!B8)</f>
        <v>관리소장</v>
      </c>
      <c r="C8" s="520"/>
      <c r="D8" s="521" t="str">
        <f>IF(월기본급!D8="","",월기본급!D8)</f>
        <v>고급기술자</v>
      </c>
      <c r="E8" s="529"/>
      <c r="F8" s="595">
        <f>단위당인건비!E8</f>
        <v>3145125</v>
      </c>
      <c r="G8" s="596">
        <f>투입인원!F8</f>
        <v>1</v>
      </c>
      <c r="H8" s="595">
        <f>TRUNC(G8*F8)</f>
        <v>3145125</v>
      </c>
      <c r="I8" s="595">
        <f>단위당인건비!E12</f>
        <v>241000</v>
      </c>
      <c r="J8" s="596">
        <f>G8</f>
        <v>1</v>
      </c>
      <c r="K8" s="595">
        <f>TRUNC(J8*I8)</f>
        <v>241000</v>
      </c>
      <c r="L8" s="595">
        <f>단위당인건비!E13</f>
        <v>1048375</v>
      </c>
      <c r="M8" s="596">
        <f>J8</f>
        <v>1</v>
      </c>
      <c r="N8" s="595">
        <f>TRUNC(M8*L8)</f>
        <v>1048375</v>
      </c>
      <c r="O8" s="595">
        <f>단위당인건비!E14</f>
        <v>369541</v>
      </c>
      <c r="P8" s="596">
        <f>M8</f>
        <v>1</v>
      </c>
      <c r="Q8" s="595">
        <f>TRUNC(P8*O8)</f>
        <v>369541</v>
      </c>
      <c r="R8" s="595">
        <f>SUM(F8,I8,L8,O8)</f>
        <v>4804041</v>
      </c>
      <c r="S8" s="596">
        <f>P8</f>
        <v>1</v>
      </c>
      <c r="T8" s="595">
        <f>TRUNC(S8*R8)</f>
        <v>4804041</v>
      </c>
      <c r="U8" s="22"/>
      <c r="X8" s="438" t="str">
        <f>A8</f>
        <v>관리팀</v>
      </c>
      <c r="Y8" s="22" t="str">
        <f>B8</f>
        <v>관리소장</v>
      </c>
      <c r="Z8" s="22" t="s">
        <v>569</v>
      </c>
      <c r="AA8" s="22">
        <f t="shared" ref="AA8:AA22" si="0">S8</f>
        <v>1</v>
      </c>
      <c r="AB8" s="22">
        <f>R8</f>
        <v>4804041</v>
      </c>
      <c r="AC8" s="601">
        <f>T8</f>
        <v>4804041</v>
      </c>
    </row>
    <row r="9" spans="1:29" ht="31.5" customHeight="1">
      <c r="A9" s="22" t="str">
        <f>IF(월기본급!A9="","",월기본급!A9)</f>
        <v>관리팀</v>
      </c>
      <c r="B9" s="23" t="str">
        <f>IF(월기본급!B9="","",월기본급!B9)</f>
        <v>관리팀장</v>
      </c>
      <c r="C9" s="520"/>
      <c r="D9" s="521" t="str">
        <f>IF(월기본급!D9="","",월기본급!D9)</f>
        <v>고급기술자</v>
      </c>
      <c r="E9" s="529"/>
      <c r="F9" s="595">
        <f>단위당인건비!E30</f>
        <v>3145125</v>
      </c>
      <c r="G9" s="596">
        <f>투입인원!F9</f>
        <v>1</v>
      </c>
      <c r="H9" s="595">
        <f t="shared" ref="H9:H14" si="1">TRUNC(G9*F9)</f>
        <v>3145125</v>
      </c>
      <c r="I9" s="595">
        <f>단위당인건비!E34</f>
        <v>761560</v>
      </c>
      <c r="J9" s="596">
        <f t="shared" ref="J9:J14" si="2">G9</f>
        <v>1</v>
      </c>
      <c r="K9" s="595">
        <f t="shared" ref="K9:K14" si="3">TRUNC(J9*I9)</f>
        <v>761560</v>
      </c>
      <c r="L9" s="595">
        <f>단위당인건비!E35</f>
        <v>1048375</v>
      </c>
      <c r="M9" s="596">
        <f t="shared" ref="M9:M14" si="4">J9</f>
        <v>1</v>
      </c>
      <c r="N9" s="595">
        <f t="shared" ref="N9:N14" si="5">TRUNC(M9*L9)</f>
        <v>1048375</v>
      </c>
      <c r="O9" s="595">
        <f>단위당인건비!E36</f>
        <v>412921</v>
      </c>
      <c r="P9" s="596">
        <f t="shared" ref="P9:P14" si="6">M9</f>
        <v>1</v>
      </c>
      <c r="Q9" s="595">
        <f t="shared" ref="Q9:Q14" si="7">TRUNC(P9*O9)</f>
        <v>412921</v>
      </c>
      <c r="R9" s="595">
        <f t="shared" ref="R9:R24" si="8">SUM(F9,I9,L9,O9)</f>
        <v>5367981</v>
      </c>
      <c r="S9" s="596">
        <f t="shared" ref="S9:S14" si="9">P9</f>
        <v>1</v>
      </c>
      <c r="T9" s="595">
        <f t="shared" ref="T9:T14" si="10">TRUNC(S9*R9)</f>
        <v>5367981</v>
      </c>
      <c r="U9" s="22"/>
      <c r="X9" s="438" t="str">
        <f t="shared" ref="X9:X22" si="11">A9</f>
        <v>관리팀</v>
      </c>
      <c r="Y9" s="22" t="str">
        <f t="shared" ref="Y9:Y22" si="12">B9</f>
        <v>관리팀장</v>
      </c>
      <c r="Z9" s="22" t="s">
        <v>569</v>
      </c>
      <c r="AA9" s="22">
        <f t="shared" si="0"/>
        <v>1</v>
      </c>
      <c r="AB9" s="22">
        <f t="shared" ref="AB9:AB22" si="13">R9</f>
        <v>5367981</v>
      </c>
      <c r="AC9" s="601">
        <f t="shared" ref="AC9:AC22" si="14">T9</f>
        <v>5367981</v>
      </c>
    </row>
    <row r="10" spans="1:29" ht="31.5" customHeight="1">
      <c r="A10" s="22" t="str">
        <f>IF(월기본급!A10="","",월기본급!A10)</f>
        <v>관리팀</v>
      </c>
      <c r="B10" s="23" t="str">
        <f>IF(월기본급!B10="","",월기본급!B10)</f>
        <v>관리팀원</v>
      </c>
      <c r="C10" s="520"/>
      <c r="D10" s="521" t="str">
        <f>IF(월기본급!D10="","",월기본급!D10)</f>
        <v>초급숙련기술자</v>
      </c>
      <c r="E10" s="529"/>
      <c r="F10" s="595">
        <f>단위당인건비!E228</f>
        <v>1966517</v>
      </c>
      <c r="G10" s="596">
        <f>투입인원!F10</f>
        <v>1</v>
      </c>
      <c r="H10" s="595">
        <f t="shared" ref="H10" si="15">TRUNC(G10*F10)</f>
        <v>1966517</v>
      </c>
      <c r="I10" s="595">
        <f>단위당인건비!E232</f>
        <v>476148</v>
      </c>
      <c r="J10" s="596">
        <f t="shared" ref="J10" si="16">G10</f>
        <v>1</v>
      </c>
      <c r="K10" s="595">
        <f t="shared" ref="K10" si="17">TRUNC(J10*I10)</f>
        <v>476148</v>
      </c>
      <c r="L10" s="595">
        <f>단위당인건비!E233</f>
        <v>655505</v>
      </c>
      <c r="M10" s="596">
        <f t="shared" ref="M10" si="18">J10</f>
        <v>1</v>
      </c>
      <c r="N10" s="595">
        <f t="shared" ref="N10" si="19">TRUNC(M10*L10)</f>
        <v>655505</v>
      </c>
      <c r="O10" s="595">
        <f>단위당인건비!E234</f>
        <v>258180</v>
      </c>
      <c r="P10" s="596">
        <f t="shared" ref="P10" si="20">M10</f>
        <v>1</v>
      </c>
      <c r="Q10" s="595">
        <f t="shared" ref="Q10" si="21">TRUNC(P10*O10)</f>
        <v>258180</v>
      </c>
      <c r="R10" s="595">
        <f t="shared" ref="R10" si="22">SUM(F10,I10,L10,O10)</f>
        <v>3356350</v>
      </c>
      <c r="S10" s="596">
        <f t="shared" ref="S10" si="23">P10</f>
        <v>1</v>
      </c>
      <c r="T10" s="595">
        <f t="shared" ref="T10" si="24">TRUNC(S10*R10)</f>
        <v>3356350</v>
      </c>
      <c r="U10" s="22"/>
      <c r="X10" s="438"/>
      <c r="Y10" s="22"/>
      <c r="Z10" s="22"/>
      <c r="AA10" s="22"/>
      <c r="AB10" s="22"/>
      <c r="AC10" s="601"/>
    </row>
    <row r="11" spans="1:29" ht="31.5" customHeight="1">
      <c r="A11" s="22" t="str">
        <f>IF(월기본급!A11="","",월기본급!A11)</f>
        <v>운영팀</v>
      </c>
      <c r="B11" s="23" t="str">
        <f>IF(월기본급!B11="","",월기본급!B11)</f>
        <v>전기팀장</v>
      </c>
      <c r="C11" s="520"/>
      <c r="D11" s="521" t="str">
        <f>IF(월기본급!D11="","",월기본급!D11)</f>
        <v>중급기술자</v>
      </c>
      <c r="E11" s="529"/>
      <c r="F11" s="595">
        <f>단위당인건비!E52</f>
        <v>2641455</v>
      </c>
      <c r="G11" s="596">
        <f>투입인원!F11</f>
        <v>2</v>
      </c>
      <c r="H11" s="595">
        <f t="shared" si="1"/>
        <v>5282910</v>
      </c>
      <c r="I11" s="595">
        <f>단위당인건비!E56</f>
        <v>639584</v>
      </c>
      <c r="J11" s="596">
        <f t="shared" si="2"/>
        <v>2</v>
      </c>
      <c r="K11" s="595">
        <f t="shared" si="3"/>
        <v>1279168</v>
      </c>
      <c r="L11" s="595">
        <f>단위당인건비!E57</f>
        <v>880485</v>
      </c>
      <c r="M11" s="596">
        <f t="shared" si="4"/>
        <v>2</v>
      </c>
      <c r="N11" s="595">
        <f t="shared" si="5"/>
        <v>1760970</v>
      </c>
      <c r="O11" s="595">
        <f>단위당인건비!E58</f>
        <v>346793</v>
      </c>
      <c r="P11" s="596">
        <f t="shared" si="6"/>
        <v>2</v>
      </c>
      <c r="Q11" s="595">
        <f t="shared" si="7"/>
        <v>693586</v>
      </c>
      <c r="R11" s="595">
        <f t="shared" si="8"/>
        <v>4508317</v>
      </c>
      <c r="S11" s="596">
        <f t="shared" si="9"/>
        <v>2</v>
      </c>
      <c r="T11" s="595">
        <f t="shared" si="10"/>
        <v>9016634</v>
      </c>
      <c r="U11" s="22"/>
      <c r="X11" s="438" t="str">
        <f t="shared" si="11"/>
        <v>운영팀</v>
      </c>
      <c r="Y11" s="22" t="str">
        <f t="shared" si="12"/>
        <v>전기팀장</v>
      </c>
      <c r="Z11" s="22" t="s">
        <v>569</v>
      </c>
      <c r="AA11" s="22">
        <f t="shared" si="0"/>
        <v>2</v>
      </c>
      <c r="AB11" s="22">
        <f t="shared" si="13"/>
        <v>4508317</v>
      </c>
      <c r="AC11" s="601">
        <f t="shared" si="14"/>
        <v>9016634</v>
      </c>
    </row>
    <row r="12" spans="1:29" ht="31.5" customHeight="1">
      <c r="A12" s="22" t="str">
        <f>IF(월기본급!A12="","",월기본급!A12)</f>
        <v>운영팀</v>
      </c>
      <c r="B12" s="23" t="str">
        <f>IF(월기본급!B12="","",월기본급!B12)</f>
        <v>기계팀장</v>
      </c>
      <c r="C12" s="520"/>
      <c r="D12" s="521" t="str">
        <f>IF(월기본급!D12="","",월기본급!D12)</f>
        <v>중급기술자</v>
      </c>
      <c r="E12" s="529"/>
      <c r="F12" s="595">
        <f>단위당인건비!E74</f>
        <v>2641455</v>
      </c>
      <c r="G12" s="596">
        <f>투입인원!F12</f>
        <v>2</v>
      </c>
      <c r="H12" s="595">
        <f t="shared" si="1"/>
        <v>5282910</v>
      </c>
      <c r="I12" s="595">
        <f>단위당인건비!E78</f>
        <v>639584</v>
      </c>
      <c r="J12" s="596">
        <f t="shared" si="2"/>
        <v>2</v>
      </c>
      <c r="K12" s="595">
        <f t="shared" si="3"/>
        <v>1279168</v>
      </c>
      <c r="L12" s="595">
        <f>단위당인건비!E79</f>
        <v>880485</v>
      </c>
      <c r="M12" s="596">
        <f t="shared" si="4"/>
        <v>2</v>
      </c>
      <c r="N12" s="595">
        <f t="shared" si="5"/>
        <v>1760970</v>
      </c>
      <c r="O12" s="595">
        <f>단위당인건비!E80</f>
        <v>346793</v>
      </c>
      <c r="P12" s="596">
        <f t="shared" si="6"/>
        <v>2</v>
      </c>
      <c r="Q12" s="595">
        <f t="shared" si="7"/>
        <v>693586</v>
      </c>
      <c r="R12" s="595">
        <f t="shared" si="8"/>
        <v>4508317</v>
      </c>
      <c r="S12" s="596">
        <f t="shared" si="9"/>
        <v>2</v>
      </c>
      <c r="T12" s="595">
        <f t="shared" si="10"/>
        <v>9016634</v>
      </c>
      <c r="U12" s="22"/>
      <c r="X12" s="438" t="str">
        <f t="shared" si="11"/>
        <v>운영팀</v>
      </c>
      <c r="Y12" s="22" t="str">
        <f t="shared" si="12"/>
        <v>기계팀장</v>
      </c>
      <c r="Z12" s="22" t="s">
        <v>569</v>
      </c>
      <c r="AA12" s="22">
        <f t="shared" si="0"/>
        <v>2</v>
      </c>
      <c r="AB12" s="22">
        <f t="shared" si="13"/>
        <v>4508317</v>
      </c>
      <c r="AC12" s="601">
        <f t="shared" si="14"/>
        <v>9016634</v>
      </c>
    </row>
    <row r="13" spans="1:29" ht="31.5" customHeight="1">
      <c r="A13" s="22" t="str">
        <f>IF(월기본급!A13="","",월기본급!A13)</f>
        <v>운영팀</v>
      </c>
      <c r="B13" s="23" t="str">
        <f>IF(월기본급!B13="","",월기본급!B13)</f>
        <v>전기담당</v>
      </c>
      <c r="C13" s="520"/>
      <c r="D13" s="521" t="str">
        <f>IF(월기본급!D13="","",월기본급!D13)</f>
        <v>초급기술자</v>
      </c>
      <c r="E13" s="529"/>
      <c r="F13" s="595">
        <f>단위당인건비!E96</f>
        <v>2327017</v>
      </c>
      <c r="G13" s="596">
        <f>투입인원!F13</f>
        <v>2</v>
      </c>
      <c r="H13" s="595">
        <f t="shared" si="1"/>
        <v>4654034</v>
      </c>
      <c r="I13" s="595">
        <f>단위당인건비!E100</f>
        <v>563459</v>
      </c>
      <c r="J13" s="596">
        <f t="shared" si="2"/>
        <v>2</v>
      </c>
      <c r="K13" s="595">
        <f t="shared" si="3"/>
        <v>1126918</v>
      </c>
      <c r="L13" s="595">
        <f>단위당인건비!E101</f>
        <v>775672</v>
      </c>
      <c r="M13" s="596">
        <f t="shared" si="4"/>
        <v>2</v>
      </c>
      <c r="N13" s="595">
        <f t="shared" si="5"/>
        <v>1551344</v>
      </c>
      <c r="O13" s="595">
        <f>단위당인건비!E102</f>
        <v>305512</v>
      </c>
      <c r="P13" s="596">
        <f t="shared" si="6"/>
        <v>2</v>
      </c>
      <c r="Q13" s="595">
        <f t="shared" si="7"/>
        <v>611024</v>
      </c>
      <c r="R13" s="595">
        <f t="shared" si="8"/>
        <v>3971660</v>
      </c>
      <c r="S13" s="596">
        <f t="shared" si="9"/>
        <v>2</v>
      </c>
      <c r="T13" s="595">
        <f t="shared" si="10"/>
        <v>7943320</v>
      </c>
      <c r="U13" s="22"/>
      <c r="X13" s="438" t="str">
        <f t="shared" si="11"/>
        <v>운영팀</v>
      </c>
      <c r="Y13" s="22" t="str">
        <f t="shared" si="12"/>
        <v>전기담당</v>
      </c>
      <c r="Z13" s="22" t="s">
        <v>569</v>
      </c>
      <c r="AA13" s="22">
        <f t="shared" si="0"/>
        <v>2</v>
      </c>
      <c r="AB13" s="22">
        <f t="shared" si="13"/>
        <v>3971660</v>
      </c>
      <c r="AC13" s="601">
        <f t="shared" si="14"/>
        <v>7943320</v>
      </c>
    </row>
    <row r="14" spans="1:29" ht="31.5" customHeight="1">
      <c r="A14" s="22" t="str">
        <f>IF(월기본급!A14="","",월기본급!A14)</f>
        <v>운영팀</v>
      </c>
      <c r="B14" s="23" t="str">
        <f>IF(월기본급!B14="","",월기본급!B14)</f>
        <v>기계담당</v>
      </c>
      <c r="C14" s="520"/>
      <c r="D14" s="521" t="str">
        <f>IF(월기본급!D14="","",월기본급!D14)</f>
        <v>초급기술자</v>
      </c>
      <c r="E14" s="529"/>
      <c r="F14" s="595">
        <f>단위당인건비!E118</f>
        <v>2327017</v>
      </c>
      <c r="G14" s="596">
        <f>투입인원!F14</f>
        <v>2</v>
      </c>
      <c r="H14" s="595">
        <f t="shared" si="1"/>
        <v>4654034</v>
      </c>
      <c r="I14" s="595">
        <f>단위당인건비!E122</f>
        <v>563459</v>
      </c>
      <c r="J14" s="596">
        <f t="shared" si="2"/>
        <v>2</v>
      </c>
      <c r="K14" s="595">
        <f t="shared" si="3"/>
        <v>1126918</v>
      </c>
      <c r="L14" s="595">
        <f>단위당인건비!E123</f>
        <v>775672</v>
      </c>
      <c r="M14" s="596">
        <f t="shared" si="4"/>
        <v>2</v>
      </c>
      <c r="N14" s="595">
        <f t="shared" si="5"/>
        <v>1551344</v>
      </c>
      <c r="O14" s="595">
        <f>단위당인건비!E124</f>
        <v>305512</v>
      </c>
      <c r="P14" s="596">
        <f t="shared" si="6"/>
        <v>2</v>
      </c>
      <c r="Q14" s="595">
        <f t="shared" si="7"/>
        <v>611024</v>
      </c>
      <c r="R14" s="595">
        <f t="shared" si="8"/>
        <v>3971660</v>
      </c>
      <c r="S14" s="596">
        <f t="shared" si="9"/>
        <v>2</v>
      </c>
      <c r="T14" s="595">
        <f t="shared" si="10"/>
        <v>7943320</v>
      </c>
      <c r="U14" s="22"/>
      <c r="X14" s="438" t="str">
        <f t="shared" si="11"/>
        <v>운영팀</v>
      </c>
      <c r="Y14" s="22" t="str">
        <f t="shared" si="12"/>
        <v>기계담당</v>
      </c>
      <c r="Z14" s="22" t="s">
        <v>569</v>
      </c>
      <c r="AA14" s="22">
        <f t="shared" si="0"/>
        <v>2</v>
      </c>
      <c r="AB14" s="22">
        <f t="shared" si="13"/>
        <v>3971660</v>
      </c>
      <c r="AC14" s="601">
        <f t="shared" si="14"/>
        <v>7943320</v>
      </c>
    </row>
    <row r="15" spans="1:29" ht="31.5" customHeight="1">
      <c r="A15" s="22" t="str">
        <f>IF(월기본급!A15="","",월기본급!A15)</f>
        <v>운영팀</v>
      </c>
      <c r="B15" s="23" t="str">
        <f>IF(월기본급!B15="","",월기본급!B15)</f>
        <v>전기담당</v>
      </c>
      <c r="C15" s="520"/>
      <c r="D15" s="521" t="str">
        <f>IF(월기본급!D15="","",월기본급!D15)</f>
        <v>고급숙련기술자</v>
      </c>
      <c r="E15" s="529"/>
      <c r="F15" s="595">
        <f>단위당인건비!E140</f>
        <v>2515878</v>
      </c>
      <c r="G15" s="596">
        <f>투입인원!F15</f>
        <v>1</v>
      </c>
      <c r="H15" s="595">
        <f>TRUNC(G15*F15)</f>
        <v>2515878</v>
      </c>
      <c r="I15" s="595">
        <f>단위당인건비!E144</f>
        <v>609184</v>
      </c>
      <c r="J15" s="596">
        <f>G15</f>
        <v>1</v>
      </c>
      <c r="K15" s="595">
        <f>TRUNC(J15*I15)</f>
        <v>609184</v>
      </c>
      <c r="L15" s="595">
        <f>단위당인건비!E145</f>
        <v>838626</v>
      </c>
      <c r="M15" s="596">
        <f>J15</f>
        <v>1</v>
      </c>
      <c r="N15" s="595">
        <f>TRUNC(M15*L15)</f>
        <v>838626</v>
      </c>
      <c r="O15" s="595">
        <f>단위당인건비!E146</f>
        <v>330307</v>
      </c>
      <c r="P15" s="596">
        <f>M15</f>
        <v>1</v>
      </c>
      <c r="Q15" s="595">
        <f>TRUNC(P15*O15)</f>
        <v>330307</v>
      </c>
      <c r="R15" s="595">
        <f t="shared" si="8"/>
        <v>4293995</v>
      </c>
      <c r="S15" s="596">
        <f>P15</f>
        <v>1</v>
      </c>
      <c r="T15" s="595">
        <f>TRUNC(S15*R15)</f>
        <v>4293995</v>
      </c>
      <c r="U15" s="22"/>
      <c r="X15" s="438" t="str">
        <f t="shared" si="11"/>
        <v>운영팀</v>
      </c>
      <c r="Y15" s="22" t="str">
        <f t="shared" si="12"/>
        <v>전기담당</v>
      </c>
      <c r="Z15" s="22" t="s">
        <v>569</v>
      </c>
      <c r="AA15" s="22">
        <f t="shared" si="0"/>
        <v>1</v>
      </c>
      <c r="AB15" s="22">
        <f t="shared" si="13"/>
        <v>4293995</v>
      </c>
      <c r="AC15" s="601">
        <f t="shared" si="14"/>
        <v>4293995</v>
      </c>
    </row>
    <row r="16" spans="1:29" ht="31.5" customHeight="1">
      <c r="A16" s="22" t="str">
        <f>IF(월기본급!A16="","",월기본급!A16)</f>
        <v>운영팀</v>
      </c>
      <c r="B16" s="23" t="str">
        <f>IF(월기본급!B16="","",월기본급!B16)</f>
        <v>기계담당</v>
      </c>
      <c r="C16" s="520"/>
      <c r="D16" s="521" t="str">
        <f>IF(월기본급!D16="","",월기본급!D16)</f>
        <v>고급숙련기술자</v>
      </c>
      <c r="E16" s="529"/>
      <c r="F16" s="595">
        <f>단위당인건비!E162</f>
        <v>2515878</v>
      </c>
      <c r="G16" s="596">
        <f>투입인원!F16</f>
        <v>1</v>
      </c>
      <c r="H16" s="595">
        <f>TRUNC(G16*F16)</f>
        <v>2515878</v>
      </c>
      <c r="I16" s="595">
        <f>단위당인건비!E144</f>
        <v>609184</v>
      </c>
      <c r="J16" s="596">
        <f>G16</f>
        <v>1</v>
      </c>
      <c r="K16" s="595">
        <f>TRUNC(J16*I16)</f>
        <v>609184</v>
      </c>
      <c r="L16" s="595">
        <f>단위당인건비!E167</f>
        <v>838626</v>
      </c>
      <c r="M16" s="596">
        <f>J16</f>
        <v>1</v>
      </c>
      <c r="N16" s="595">
        <f>TRUNC(M16*L16)</f>
        <v>838626</v>
      </c>
      <c r="O16" s="595">
        <f>단위당인건비!E168</f>
        <v>330307</v>
      </c>
      <c r="P16" s="596">
        <f>M16</f>
        <v>1</v>
      </c>
      <c r="Q16" s="595">
        <f>TRUNC(P16*O16)</f>
        <v>330307</v>
      </c>
      <c r="R16" s="595">
        <f t="shared" si="8"/>
        <v>4293995</v>
      </c>
      <c r="S16" s="596">
        <f>P16</f>
        <v>1</v>
      </c>
      <c r="T16" s="595">
        <f>TRUNC(S16*R16)</f>
        <v>4293995</v>
      </c>
      <c r="U16" s="22"/>
      <c r="X16" s="438" t="str">
        <f t="shared" si="11"/>
        <v>운영팀</v>
      </c>
      <c r="Y16" s="22" t="str">
        <f t="shared" si="12"/>
        <v>기계담당</v>
      </c>
      <c r="Z16" s="22" t="s">
        <v>569</v>
      </c>
      <c r="AA16" s="22">
        <f t="shared" si="0"/>
        <v>1</v>
      </c>
      <c r="AB16" s="22">
        <f t="shared" si="13"/>
        <v>4293995</v>
      </c>
      <c r="AC16" s="601">
        <f t="shared" si="14"/>
        <v>4293995</v>
      </c>
    </row>
    <row r="17" spans="1:29" ht="31.5" customHeight="1">
      <c r="A17" s="22" t="str">
        <f>IF(월기본급!A17="","",월기본급!A17)</f>
        <v>운영팀</v>
      </c>
      <c r="B17" s="23" t="str">
        <f>IF(월기본급!B17="","",월기본급!B17)</f>
        <v>전기담당</v>
      </c>
      <c r="C17" s="520"/>
      <c r="D17" s="521" t="str">
        <f>IF(월기본급!D17="","",월기본급!D17)</f>
        <v>중급숙련기술자</v>
      </c>
      <c r="E17" s="529"/>
      <c r="F17" s="595">
        <f>단위당인건비!E184</f>
        <v>2238540</v>
      </c>
      <c r="G17" s="596">
        <f>투입인원!F17</f>
        <v>2</v>
      </c>
      <c r="H17" s="595">
        <f>TRUNC(G17*F17)</f>
        <v>4477080</v>
      </c>
      <c r="I17" s="595">
        <f>단위당인건비!E188</f>
        <v>542034</v>
      </c>
      <c r="J17" s="596">
        <f>G17</f>
        <v>2</v>
      </c>
      <c r="K17" s="595">
        <f>TRUNC(J17*I17)</f>
        <v>1084068</v>
      </c>
      <c r="L17" s="595">
        <f>단위당인건비!E189</f>
        <v>746180</v>
      </c>
      <c r="M17" s="596">
        <f>J17</f>
        <v>2</v>
      </c>
      <c r="N17" s="595">
        <f>TRUNC(M17*L17)</f>
        <v>1492360</v>
      </c>
      <c r="O17" s="595">
        <f>단위당인건비!E190</f>
        <v>293896</v>
      </c>
      <c r="P17" s="596">
        <f>M17</f>
        <v>2</v>
      </c>
      <c r="Q17" s="595">
        <f>TRUNC(P17*O17)</f>
        <v>587792</v>
      </c>
      <c r="R17" s="595">
        <f t="shared" si="8"/>
        <v>3820650</v>
      </c>
      <c r="S17" s="596">
        <f>P17</f>
        <v>2</v>
      </c>
      <c r="T17" s="595">
        <f>TRUNC(S17*R17)</f>
        <v>7641300</v>
      </c>
      <c r="U17" s="22"/>
      <c r="X17" s="438" t="str">
        <f t="shared" si="11"/>
        <v>운영팀</v>
      </c>
      <c r="Y17" s="22" t="str">
        <f t="shared" si="12"/>
        <v>전기담당</v>
      </c>
      <c r="Z17" s="22" t="s">
        <v>569</v>
      </c>
      <c r="AA17" s="22">
        <f t="shared" si="0"/>
        <v>2</v>
      </c>
      <c r="AB17" s="22">
        <f t="shared" si="13"/>
        <v>3820650</v>
      </c>
      <c r="AC17" s="601">
        <f t="shared" si="14"/>
        <v>7641300</v>
      </c>
    </row>
    <row r="18" spans="1:29" ht="31.5" customHeight="1">
      <c r="A18" s="22" t="str">
        <f>IF(월기본급!A18="","",월기본급!A18)</f>
        <v>운영팀</v>
      </c>
      <c r="B18" s="23" t="str">
        <f>IF(월기본급!B18="","",월기본급!B18)</f>
        <v>기계담당</v>
      </c>
      <c r="C18" s="520"/>
      <c r="D18" s="521" t="str">
        <f>IF(월기본급!D18="","",월기본급!D18)</f>
        <v>중급숙련기술자</v>
      </c>
      <c r="E18" s="529"/>
      <c r="F18" s="595">
        <f>단위당인건비!E206</f>
        <v>2238540</v>
      </c>
      <c r="G18" s="596">
        <f>투입인원!F18</f>
        <v>2</v>
      </c>
      <c r="H18" s="595">
        <f>TRUNC(G18*F18)</f>
        <v>4477080</v>
      </c>
      <c r="I18" s="595">
        <f>단위당인건비!E210</f>
        <v>542034</v>
      </c>
      <c r="J18" s="596">
        <f>G18</f>
        <v>2</v>
      </c>
      <c r="K18" s="595">
        <f>TRUNC(J18*I18)</f>
        <v>1084068</v>
      </c>
      <c r="L18" s="595">
        <f>단위당인건비!E211</f>
        <v>746180</v>
      </c>
      <c r="M18" s="596">
        <f>J18</f>
        <v>2</v>
      </c>
      <c r="N18" s="595">
        <f>TRUNC(M18*L18)</f>
        <v>1492360</v>
      </c>
      <c r="O18" s="595">
        <f>단위당인건비!E212</f>
        <v>293896</v>
      </c>
      <c r="P18" s="596">
        <f>M18</f>
        <v>2</v>
      </c>
      <c r="Q18" s="595">
        <f>TRUNC(P18*O18)</f>
        <v>587792</v>
      </c>
      <c r="R18" s="595">
        <f t="shared" si="8"/>
        <v>3820650</v>
      </c>
      <c r="S18" s="596">
        <f>P18</f>
        <v>2</v>
      </c>
      <c r="T18" s="595">
        <f>TRUNC(S18*R18)</f>
        <v>7641300</v>
      </c>
      <c r="U18" s="22"/>
      <c r="X18" s="438" t="str">
        <f t="shared" si="11"/>
        <v>운영팀</v>
      </c>
      <c r="Y18" s="22" t="str">
        <f t="shared" si="12"/>
        <v>기계담당</v>
      </c>
      <c r="Z18" s="22" t="s">
        <v>569</v>
      </c>
      <c r="AA18" s="22">
        <f t="shared" si="0"/>
        <v>2</v>
      </c>
      <c r="AB18" s="22">
        <f t="shared" si="13"/>
        <v>3820650</v>
      </c>
      <c r="AC18" s="601">
        <f t="shared" si="14"/>
        <v>7641300</v>
      </c>
    </row>
    <row r="19" spans="1:29" ht="31.5" customHeight="1">
      <c r="A19" s="22" t="str">
        <f>IF(월기본급!A19="","",월기본급!A19)</f>
        <v>운영팀</v>
      </c>
      <c r="B19" s="23" t="str">
        <f>IF(월기본급!B19="","",월기본급!B19)</f>
        <v>전기담당</v>
      </c>
      <c r="C19" s="520"/>
      <c r="D19" s="521" t="str">
        <f>IF(월기본급!D19="","",월기본급!D19)</f>
        <v>초급숙련기술자</v>
      </c>
      <c r="E19" s="529"/>
      <c r="F19" s="595">
        <f>단위당인건비!E250</f>
        <v>1966517</v>
      </c>
      <c r="G19" s="596">
        <f>투입인원!F19</f>
        <v>1</v>
      </c>
      <c r="H19" s="595">
        <f t="shared" ref="H19:H24" si="25">TRUNC(G19*F19)</f>
        <v>1966517</v>
      </c>
      <c r="I19" s="595">
        <f>단위당인건비!E254</f>
        <v>476148</v>
      </c>
      <c r="J19" s="596">
        <f t="shared" ref="J19:J24" si="26">G19</f>
        <v>1</v>
      </c>
      <c r="K19" s="595">
        <f t="shared" ref="K19:K24" si="27">TRUNC(J19*I19)</f>
        <v>476148</v>
      </c>
      <c r="L19" s="595">
        <f>단위당인건비!E255</f>
        <v>655505</v>
      </c>
      <c r="M19" s="596">
        <f t="shared" ref="M19:M24" si="28">J19</f>
        <v>1</v>
      </c>
      <c r="N19" s="595">
        <f t="shared" ref="N19:N24" si="29">TRUNC(M19*L19)</f>
        <v>655505</v>
      </c>
      <c r="O19" s="595">
        <f>단위당인건비!E256</f>
        <v>258180</v>
      </c>
      <c r="P19" s="596">
        <f t="shared" ref="P19:P24" si="30">M19</f>
        <v>1</v>
      </c>
      <c r="Q19" s="595">
        <f t="shared" ref="Q19:Q24" si="31">TRUNC(P19*O19)</f>
        <v>258180</v>
      </c>
      <c r="R19" s="595">
        <f t="shared" si="8"/>
        <v>3356350</v>
      </c>
      <c r="S19" s="596">
        <f t="shared" ref="S19:S24" si="32">P19</f>
        <v>1</v>
      </c>
      <c r="T19" s="595">
        <f t="shared" ref="T19:T24" si="33">TRUNC(S19*R19)</f>
        <v>3356350</v>
      </c>
      <c r="U19" s="22"/>
      <c r="X19" s="438"/>
      <c r="Y19" s="22"/>
      <c r="Z19" s="22"/>
      <c r="AA19" s="22"/>
      <c r="AB19" s="22"/>
      <c r="AC19" s="601"/>
    </row>
    <row r="20" spans="1:29" ht="31.5" customHeight="1">
      <c r="A20" s="22" t="str">
        <f>IF(월기본급!A20="","",월기본급!A20)</f>
        <v>운영팀</v>
      </c>
      <c r="B20" s="23" t="str">
        <f>IF(월기본급!B20="","",월기본급!B20)</f>
        <v>기계담당</v>
      </c>
      <c r="C20" s="520"/>
      <c r="D20" s="521" t="str">
        <f>IF(월기본급!D20="","",월기본급!D20)</f>
        <v>초급숙련기술자</v>
      </c>
      <c r="E20" s="529"/>
      <c r="F20" s="595">
        <f>단위당인건비!E272</f>
        <v>1966517</v>
      </c>
      <c r="G20" s="596">
        <f>투입인원!F20</f>
        <v>1</v>
      </c>
      <c r="H20" s="595">
        <f t="shared" si="25"/>
        <v>1966517</v>
      </c>
      <c r="I20" s="595">
        <f>단위당인건비!E276</f>
        <v>476148</v>
      </c>
      <c r="J20" s="596">
        <f t="shared" si="26"/>
        <v>1</v>
      </c>
      <c r="K20" s="595">
        <f t="shared" si="27"/>
        <v>476148</v>
      </c>
      <c r="L20" s="595">
        <f>단위당인건비!E277</f>
        <v>655505</v>
      </c>
      <c r="M20" s="596">
        <f t="shared" si="28"/>
        <v>1</v>
      </c>
      <c r="N20" s="595">
        <f t="shared" si="29"/>
        <v>655505</v>
      </c>
      <c r="O20" s="595">
        <f>단위당인건비!E278</f>
        <v>258180</v>
      </c>
      <c r="P20" s="596">
        <f t="shared" si="30"/>
        <v>1</v>
      </c>
      <c r="Q20" s="595">
        <f t="shared" si="31"/>
        <v>258180</v>
      </c>
      <c r="R20" s="595">
        <f t="shared" si="8"/>
        <v>3356350</v>
      </c>
      <c r="S20" s="596">
        <f t="shared" si="32"/>
        <v>1</v>
      </c>
      <c r="T20" s="595">
        <f t="shared" si="33"/>
        <v>3356350</v>
      </c>
      <c r="U20" s="22"/>
      <c r="X20" s="438"/>
      <c r="Y20" s="22"/>
      <c r="Z20" s="22"/>
      <c r="AA20" s="22"/>
      <c r="AB20" s="22"/>
      <c r="AC20" s="601"/>
    </row>
    <row r="21" spans="1:29" ht="31.5" customHeight="1">
      <c r="A21" s="22" t="str">
        <f>IF(월기본급!A21="","",월기본급!A21)</f>
        <v>환경팀</v>
      </c>
      <c r="B21" s="23" t="str">
        <f>IF(월기본급!B21="","",월기본급!B21)</f>
        <v>환경팀장</v>
      </c>
      <c r="C21" s="520"/>
      <c r="D21" s="521" t="str">
        <f>IF(월기본급!D21="","",월기본급!D21)</f>
        <v>초급숙련기술자</v>
      </c>
      <c r="E21" s="529"/>
      <c r="F21" s="595">
        <f>단위당인건비!E294</f>
        <v>1966517</v>
      </c>
      <c r="G21" s="596">
        <f>투입인원!F21</f>
        <v>1</v>
      </c>
      <c r="H21" s="595">
        <f t="shared" ref="H21" si="34">TRUNC(G21*F21)</f>
        <v>1966517</v>
      </c>
      <c r="I21" s="595">
        <f>단위당인건비!E298</f>
        <v>476148</v>
      </c>
      <c r="J21" s="596">
        <f t="shared" ref="J21" si="35">G21</f>
        <v>1</v>
      </c>
      <c r="K21" s="595">
        <f t="shared" ref="K21" si="36">TRUNC(J21*I21)</f>
        <v>476148</v>
      </c>
      <c r="L21" s="595">
        <f>단위당인건비!E299</f>
        <v>655505</v>
      </c>
      <c r="M21" s="596">
        <f t="shared" ref="M21" si="37">J21</f>
        <v>1</v>
      </c>
      <c r="N21" s="595">
        <f t="shared" ref="N21" si="38">TRUNC(M21*L21)</f>
        <v>655505</v>
      </c>
      <c r="O21" s="595">
        <f>단위당인건비!E300</f>
        <v>258180</v>
      </c>
      <c r="P21" s="596">
        <f t="shared" ref="P21" si="39">M21</f>
        <v>1</v>
      </c>
      <c r="Q21" s="595">
        <f t="shared" ref="Q21" si="40">TRUNC(P21*O21)</f>
        <v>258180</v>
      </c>
      <c r="R21" s="595">
        <f t="shared" ref="R21" si="41">SUM(F21,I21,L21,O21)</f>
        <v>3356350</v>
      </c>
      <c r="S21" s="596">
        <f t="shared" ref="S21" si="42">P21</f>
        <v>1</v>
      </c>
      <c r="T21" s="595">
        <f t="shared" ref="T21" si="43">TRUNC(S21*R21)</f>
        <v>3356350</v>
      </c>
      <c r="U21" s="22"/>
      <c r="X21" s="438"/>
      <c r="Y21" s="22"/>
      <c r="Z21" s="22"/>
      <c r="AA21" s="22"/>
      <c r="AB21" s="22"/>
      <c r="AC21" s="601"/>
    </row>
    <row r="22" spans="1:29" ht="31.5" customHeight="1">
      <c r="A22" s="22" t="str">
        <f>IF(월기본급!A22="","",월기본급!A22)</f>
        <v>환경팀</v>
      </c>
      <c r="B22" s="23" t="str">
        <f>IF(월기본급!B22="","",월기본급!B22)</f>
        <v>환경팀원</v>
      </c>
      <c r="C22" s="520"/>
      <c r="D22" s="521" t="str">
        <f>IF(월기본급!D22="","",월기본급!D22)</f>
        <v>단순노무종사원</v>
      </c>
      <c r="E22" s="529"/>
      <c r="F22" s="595">
        <f>단위당인건비!E316</f>
        <v>1743130</v>
      </c>
      <c r="G22" s="596">
        <f>투입인원!F22</f>
        <v>2</v>
      </c>
      <c r="H22" s="595">
        <f t="shared" si="25"/>
        <v>3486260</v>
      </c>
      <c r="I22" s="595">
        <f>단위당인건비!E320</f>
        <v>422081</v>
      </c>
      <c r="J22" s="596">
        <f t="shared" si="26"/>
        <v>2</v>
      </c>
      <c r="K22" s="595">
        <f t="shared" si="27"/>
        <v>844162</v>
      </c>
      <c r="L22" s="595">
        <f>단위당인건비!E321</f>
        <v>581043</v>
      </c>
      <c r="M22" s="596">
        <f t="shared" si="28"/>
        <v>2</v>
      </c>
      <c r="N22" s="595">
        <f t="shared" si="29"/>
        <v>1162086</v>
      </c>
      <c r="O22" s="595">
        <f>단위당인건비!E322</f>
        <v>228854</v>
      </c>
      <c r="P22" s="596">
        <f t="shared" si="30"/>
        <v>2</v>
      </c>
      <c r="Q22" s="595">
        <f t="shared" si="31"/>
        <v>457708</v>
      </c>
      <c r="R22" s="595">
        <f t="shared" si="8"/>
        <v>2975108</v>
      </c>
      <c r="S22" s="596">
        <f t="shared" si="32"/>
        <v>2</v>
      </c>
      <c r="T22" s="595">
        <f t="shared" si="33"/>
        <v>5950216</v>
      </c>
      <c r="U22" s="22"/>
      <c r="X22" s="438" t="str">
        <f t="shared" si="11"/>
        <v>환경팀</v>
      </c>
      <c r="Y22" s="22" t="str">
        <f t="shared" si="12"/>
        <v>환경팀원</v>
      </c>
      <c r="Z22" s="22" t="s">
        <v>569</v>
      </c>
      <c r="AA22" s="22">
        <f t="shared" si="0"/>
        <v>2</v>
      </c>
      <c r="AB22" s="22">
        <f t="shared" si="13"/>
        <v>2975108</v>
      </c>
      <c r="AC22" s="601">
        <f t="shared" si="14"/>
        <v>5950216</v>
      </c>
    </row>
    <row r="23" spans="1:29" ht="31.5" customHeight="1">
      <c r="A23" s="22" t="str">
        <f>IF(월기본급!A23="","",월기본급!A23)</f>
        <v>운반팀</v>
      </c>
      <c r="B23" s="23" t="str">
        <f>IF(월기본급!B23="","",월기본급!B23)</f>
        <v>운전원</v>
      </c>
      <c r="C23" s="602"/>
      <c r="D23" s="521" t="str">
        <f>IF(월기본급!D23="","",월기본급!D23)</f>
        <v>초급숙련기술자</v>
      </c>
      <c r="E23" s="604"/>
      <c r="F23" s="595">
        <f>단위당인건비!E338</f>
        <v>1966517</v>
      </c>
      <c r="G23" s="596">
        <f>투입인원!F23</f>
        <v>1</v>
      </c>
      <c r="H23" s="595">
        <f t="shared" si="25"/>
        <v>1966517</v>
      </c>
      <c r="I23" s="595">
        <f>단위당인건비!E342</f>
        <v>476148</v>
      </c>
      <c r="J23" s="596">
        <f t="shared" si="26"/>
        <v>1</v>
      </c>
      <c r="K23" s="595">
        <f t="shared" si="27"/>
        <v>476148</v>
      </c>
      <c r="L23" s="595">
        <f>단위당인건비!E343</f>
        <v>655505</v>
      </c>
      <c r="M23" s="596">
        <f t="shared" si="28"/>
        <v>1</v>
      </c>
      <c r="N23" s="595">
        <f t="shared" si="29"/>
        <v>655505</v>
      </c>
      <c r="O23" s="595">
        <f>단위당인건비!E344</f>
        <v>258180</v>
      </c>
      <c r="P23" s="596">
        <f t="shared" si="30"/>
        <v>1</v>
      </c>
      <c r="Q23" s="595">
        <f t="shared" si="31"/>
        <v>258180</v>
      </c>
      <c r="R23" s="595">
        <f t="shared" si="8"/>
        <v>3356350</v>
      </c>
      <c r="S23" s="596">
        <f t="shared" si="32"/>
        <v>1</v>
      </c>
      <c r="T23" s="595">
        <f t="shared" si="33"/>
        <v>3356350</v>
      </c>
      <c r="U23" s="22"/>
      <c r="X23" s="438"/>
      <c r="Y23" s="22"/>
      <c r="Z23" s="22"/>
      <c r="AA23" s="22"/>
      <c r="AB23" s="22"/>
      <c r="AC23" s="601"/>
    </row>
    <row r="24" spans="1:29" ht="31.5" customHeight="1">
      <c r="A24" s="22" t="str">
        <f>IF(월기본급!A24="","",월기본급!A24)</f>
        <v>운반팀</v>
      </c>
      <c r="B24" s="23" t="str">
        <f>IF(월기본급!B24="","",월기본급!B24)</f>
        <v>운반팀원</v>
      </c>
      <c r="C24" s="602"/>
      <c r="D24" s="521" t="str">
        <f>IF(월기본급!D24="","",월기본급!D24)</f>
        <v>단순노무종사원</v>
      </c>
      <c r="E24" s="604"/>
      <c r="F24" s="595">
        <f>단위당인건비!E360</f>
        <v>1743130</v>
      </c>
      <c r="G24" s="596">
        <f>투입인원!F24</f>
        <v>2</v>
      </c>
      <c r="H24" s="595">
        <f t="shared" si="25"/>
        <v>3486260</v>
      </c>
      <c r="I24" s="595">
        <f>단위당인건비!E364</f>
        <v>422081</v>
      </c>
      <c r="J24" s="596">
        <f t="shared" si="26"/>
        <v>2</v>
      </c>
      <c r="K24" s="595">
        <f t="shared" si="27"/>
        <v>844162</v>
      </c>
      <c r="L24" s="595">
        <f>단위당인건비!E365</f>
        <v>581043</v>
      </c>
      <c r="M24" s="596">
        <f t="shared" si="28"/>
        <v>2</v>
      </c>
      <c r="N24" s="595">
        <f t="shared" si="29"/>
        <v>1162086</v>
      </c>
      <c r="O24" s="595">
        <f>단위당인건비!E366</f>
        <v>228854</v>
      </c>
      <c r="P24" s="596">
        <f t="shared" si="30"/>
        <v>2</v>
      </c>
      <c r="Q24" s="595">
        <f t="shared" si="31"/>
        <v>457708</v>
      </c>
      <c r="R24" s="595">
        <f t="shared" si="8"/>
        <v>2975108</v>
      </c>
      <c r="S24" s="596">
        <f t="shared" si="32"/>
        <v>2</v>
      </c>
      <c r="T24" s="595">
        <f t="shared" si="33"/>
        <v>5950216</v>
      </c>
      <c r="U24" s="22"/>
      <c r="X24" s="438"/>
      <c r="Y24" s="22"/>
      <c r="Z24" s="22"/>
      <c r="AA24" s="22"/>
      <c r="AB24" s="22"/>
      <c r="AC24" s="601"/>
    </row>
    <row r="25" spans="1:29" ht="31.5" customHeight="1">
      <c r="A25" s="22" t="s">
        <v>89</v>
      </c>
      <c r="B25" s="325"/>
      <c r="C25" s="602"/>
      <c r="D25" s="603"/>
      <c r="E25" s="604"/>
      <c r="F25" s="1223"/>
      <c r="G25" s="1222">
        <f>SUM(G8:G24)</f>
        <v>25</v>
      </c>
      <c r="H25" s="1224">
        <f>SUM(H8:H24)</f>
        <v>56955159</v>
      </c>
      <c r="I25" s="1224"/>
      <c r="J25" s="1222">
        <f>SUM(J8:J24)</f>
        <v>25</v>
      </c>
      <c r="K25" s="1224">
        <f>SUM(K8:K24)</f>
        <v>13270300</v>
      </c>
      <c r="L25" s="1224"/>
      <c r="M25" s="1222">
        <f>SUM(M8:M24)</f>
        <v>25</v>
      </c>
      <c r="N25" s="1224">
        <f>SUM(N8:N24)</f>
        <v>18985047</v>
      </c>
      <c r="O25" s="1224"/>
      <c r="P25" s="1222">
        <f>SUM(P8:P24)</f>
        <v>25</v>
      </c>
      <c r="Q25" s="1224">
        <f>SUM(Q8:Q24)</f>
        <v>7434196</v>
      </c>
      <c r="R25" s="1224"/>
      <c r="S25" s="1222">
        <f>SUM(S8:S24)</f>
        <v>25</v>
      </c>
      <c r="T25" s="1224">
        <f>SUM(T8:T24)</f>
        <v>96644702</v>
      </c>
      <c r="U25" s="22"/>
      <c r="X25" s="31"/>
      <c r="Y25" s="31"/>
      <c r="Z25" s="31"/>
      <c r="AA25" s="338">
        <f>SUM(AA8:AA22)</f>
        <v>18</v>
      </c>
      <c r="AB25" s="31"/>
      <c r="AC25" s="338">
        <f>SUM(AC8:AC22)</f>
        <v>73912736</v>
      </c>
    </row>
    <row r="26" spans="1:29" ht="30.75" customHeight="1">
      <c r="A26" s="69" t="str">
        <f>"주 1) 단위(1인당)인건비 : "&amp;단위당인건비!A1&amp;단위당인건비!A2&amp;" 참조"</f>
        <v>주 1) 단위(1인당)인건비 : [ 표 : 7 ] 직책별 단위(1인)당 인건비산출표 참조</v>
      </c>
      <c r="B26" s="69"/>
      <c r="C26" s="69"/>
      <c r="D26" s="69"/>
      <c r="E26" s="69"/>
    </row>
    <row r="27" spans="1:29" ht="30.75" customHeight="1">
      <c r="A27" s="69" t="str">
        <f>"   2) 작업인원 : "&amp;투입인원!A1&amp;투입인원!A2&amp;" 참조"</f>
        <v xml:space="preserve">   2) 작업인원 : [ 표 : 12 ] 적용직종 및 근무형태 참조</v>
      </c>
      <c r="B27" s="69"/>
      <c r="C27" s="69"/>
      <c r="D27" s="69"/>
      <c r="E27" s="69"/>
    </row>
  </sheetData>
  <mergeCells count="11">
    <mergeCell ref="O5:Q5"/>
    <mergeCell ref="U5:U6"/>
    <mergeCell ref="R5:T5"/>
    <mergeCell ref="F5:H5"/>
    <mergeCell ref="E5:E6"/>
    <mergeCell ref="I5:K5"/>
    <mergeCell ref="A5:A6"/>
    <mergeCell ref="B5:B6"/>
    <mergeCell ref="D5:D6"/>
    <mergeCell ref="C5:C6"/>
    <mergeCell ref="L5:N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49" firstPageNumber="141" orientation="landscape" r:id="rId1"/>
  <headerFooter alignWithMargins="0">
    <oddFooter>&amp;C&amp;"바탕체,보통"&amp;13- &amp;P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showZeros="0" view="pageBreakPreview" zoomScaleNormal="100" zoomScaleSheetLayoutView="100" workbookViewId="0">
      <pane ySplit="6" topLeftCell="A17" activePane="bottomLeft" state="frozen"/>
      <selection activeCell="K8" sqref="K8"/>
      <selection pane="bottomLeft" activeCell="Q33" sqref="Q33"/>
    </sheetView>
  </sheetViews>
  <sheetFormatPr defaultRowHeight="12"/>
  <cols>
    <col min="1" max="1" width="12.6640625" style="12" customWidth="1"/>
    <col min="2" max="2" width="14.109375" style="12" bestFit="1" customWidth="1"/>
    <col min="3" max="3" width="1.5546875" style="12" customWidth="1"/>
    <col min="4" max="4" width="17.109375" style="12" customWidth="1"/>
    <col min="5" max="5" width="1.5546875" style="12" customWidth="1"/>
    <col min="6" max="6" width="9.77734375" style="317" customWidth="1"/>
    <col min="7" max="7" width="5.77734375" style="317" bestFit="1" customWidth="1"/>
    <col min="8" max="8" width="11.109375" style="317" bestFit="1" customWidth="1"/>
    <col min="9" max="9" width="9.77734375" style="317" customWidth="1"/>
    <col min="10" max="10" width="5.77734375" style="317" bestFit="1" customWidth="1"/>
    <col min="11" max="11" width="10.109375" style="317" bestFit="1" customWidth="1"/>
    <col min="12" max="12" width="9.77734375" style="317" customWidth="1"/>
    <col min="13" max="13" width="5.77734375" style="317" bestFit="1" customWidth="1"/>
    <col min="14" max="14" width="10.109375" style="317" bestFit="1" customWidth="1"/>
    <col min="15" max="15" width="9.77734375" style="317" customWidth="1"/>
    <col min="16" max="16" width="5.77734375" style="317" customWidth="1"/>
    <col min="17" max="17" width="10.109375" style="317" customWidth="1"/>
    <col min="18" max="18" width="9.77734375" style="317" customWidth="1"/>
    <col min="19" max="19" width="5" style="317" bestFit="1" customWidth="1"/>
    <col min="20" max="20" width="11.109375" style="317" bestFit="1" customWidth="1"/>
    <col min="21" max="21" width="8.88671875" style="317"/>
    <col min="22" max="16384" width="8.88671875" style="12"/>
  </cols>
  <sheetData>
    <row r="1" spans="1:21" ht="20.100000000000001" customHeight="1">
      <c r="A1" s="1" t="str">
        <f>"[ 표 : "&amp;U1&amp;" ] "</f>
        <v xml:space="preserve">[ 표 : 6 ] </v>
      </c>
      <c r="B1" s="33"/>
      <c r="C1" s="33"/>
      <c r="D1" s="33"/>
      <c r="E1" s="33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>
        <f>인건비집계!U1+1</f>
        <v>6</v>
      </c>
    </row>
    <row r="2" spans="1:21" s="5" customFormat="1" ht="30" customHeight="1">
      <c r="A2" s="4" t="s">
        <v>747</v>
      </c>
      <c r="B2" s="4"/>
      <c r="C2" s="4"/>
      <c r="D2" s="4"/>
      <c r="E2" s="4"/>
      <c r="F2" s="590"/>
      <c r="G2" s="590"/>
      <c r="H2" s="590"/>
      <c r="I2" s="590"/>
      <c r="J2" s="590"/>
      <c r="K2" s="590"/>
      <c r="L2" s="590"/>
      <c r="M2" s="590"/>
      <c r="N2" s="590"/>
      <c r="O2" s="590"/>
      <c r="P2" s="590"/>
      <c r="Q2" s="590"/>
      <c r="R2" s="590"/>
      <c r="S2" s="590"/>
      <c r="T2" s="590"/>
      <c r="U2" s="591"/>
    </row>
    <row r="3" spans="1:21" ht="9.9499999999999993" customHeight="1">
      <c r="A3" s="67"/>
      <c r="B3" s="67"/>
      <c r="C3" s="67"/>
      <c r="D3" s="67"/>
      <c r="E3" s="67"/>
      <c r="F3" s="592"/>
      <c r="G3" s="592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89"/>
    </row>
    <row r="4" spans="1:21" ht="20.100000000000001" customHeight="1">
      <c r="A4" s="69"/>
      <c r="B4" s="69"/>
      <c r="C4" s="69"/>
      <c r="D4" s="69"/>
      <c r="E4" s="6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93" t="s">
        <v>168</v>
      </c>
      <c r="U4" s="589"/>
    </row>
    <row r="5" spans="1:21" s="3" customFormat="1" ht="36" customHeight="1">
      <c r="A5" s="1339" t="s">
        <v>205</v>
      </c>
      <c r="B5" s="1339" t="s">
        <v>167</v>
      </c>
      <c r="C5" s="1351"/>
      <c r="D5" s="1349" t="s">
        <v>118</v>
      </c>
      <c r="E5" s="1358"/>
      <c r="F5" s="1353" t="s">
        <v>279</v>
      </c>
      <c r="G5" s="1354"/>
      <c r="H5" s="1355"/>
      <c r="I5" s="1353" t="s">
        <v>280</v>
      </c>
      <c r="J5" s="1354"/>
      <c r="K5" s="1355"/>
      <c r="L5" s="1353" t="s">
        <v>317</v>
      </c>
      <c r="M5" s="1354"/>
      <c r="N5" s="1355"/>
      <c r="O5" s="1353" t="s">
        <v>281</v>
      </c>
      <c r="P5" s="1354"/>
      <c r="Q5" s="1355"/>
      <c r="R5" s="1353" t="s">
        <v>81</v>
      </c>
      <c r="S5" s="1354"/>
      <c r="T5" s="1355"/>
      <c r="U5" s="594"/>
    </row>
    <row r="6" spans="1:21" s="3" customFormat="1" ht="36" customHeight="1">
      <c r="A6" s="1340"/>
      <c r="B6" s="1340"/>
      <c r="C6" s="1352"/>
      <c r="D6" s="1350"/>
      <c r="E6" s="1359"/>
      <c r="F6" s="29" t="s">
        <v>1032</v>
      </c>
      <c r="G6" s="29" t="s">
        <v>83</v>
      </c>
      <c r="H6" s="29" t="s">
        <v>84</v>
      </c>
      <c r="I6" s="29" t="s">
        <v>1032</v>
      </c>
      <c r="J6" s="29" t="s">
        <v>83</v>
      </c>
      <c r="K6" s="29" t="s">
        <v>84</v>
      </c>
      <c r="L6" s="29" t="s">
        <v>1032</v>
      </c>
      <c r="M6" s="29" t="s">
        <v>83</v>
      </c>
      <c r="N6" s="29" t="s">
        <v>84</v>
      </c>
      <c r="O6" s="29" t="s">
        <v>278</v>
      </c>
      <c r="P6" s="29" t="s">
        <v>83</v>
      </c>
      <c r="Q6" s="29" t="s">
        <v>84</v>
      </c>
      <c r="R6" s="29" t="s">
        <v>278</v>
      </c>
      <c r="S6" s="29" t="s">
        <v>83</v>
      </c>
      <c r="T6" s="29" t="s">
        <v>84</v>
      </c>
      <c r="U6" s="594"/>
    </row>
    <row r="7" spans="1:21" s="3" customFormat="1" ht="30" customHeight="1">
      <c r="A7" s="15"/>
      <c r="B7" s="15"/>
      <c r="C7" s="364"/>
      <c r="D7" s="395"/>
      <c r="E7" s="396"/>
      <c r="F7" s="29" t="s">
        <v>98</v>
      </c>
      <c r="G7" s="29" t="s">
        <v>137</v>
      </c>
      <c r="H7" s="29"/>
      <c r="I7" s="29" t="s">
        <v>98</v>
      </c>
      <c r="J7" s="29" t="s">
        <v>137</v>
      </c>
      <c r="K7" s="29"/>
      <c r="L7" s="29" t="s">
        <v>98</v>
      </c>
      <c r="M7" s="29" t="s">
        <v>137</v>
      </c>
      <c r="N7" s="29"/>
      <c r="O7" s="29" t="s">
        <v>98</v>
      </c>
      <c r="P7" s="29" t="s">
        <v>137</v>
      </c>
      <c r="Q7" s="29"/>
      <c r="R7" s="29"/>
      <c r="S7" s="29"/>
      <c r="T7" s="29"/>
      <c r="U7" s="21"/>
    </row>
    <row r="8" spans="1:21" ht="30" customHeight="1">
      <c r="A8" s="23" t="str">
        <f>IF(월기본급!A8="","",월기본급!A8)</f>
        <v>관리팀</v>
      </c>
      <c r="B8" s="23" t="str">
        <f>IF(월기본급!B8="","",월기본급!B8)</f>
        <v>관리소장</v>
      </c>
      <c r="C8" s="520"/>
      <c r="D8" s="521" t="str">
        <f>IF(월기본급!D8="","",월기본급!D8)</f>
        <v>고급기술자</v>
      </c>
      <c r="E8" s="529"/>
      <c r="F8" s="595">
        <f>단위당인건비!E9</f>
        <v>241000</v>
      </c>
      <c r="G8" s="596">
        <f>투입인원!F8</f>
        <v>1</v>
      </c>
      <c r="H8" s="1229">
        <f>TRUNC(G8*F8)</f>
        <v>241000</v>
      </c>
      <c r="I8" s="595">
        <f>단위당인건비!E10</f>
        <v>0</v>
      </c>
      <c r="J8" s="596">
        <f>G8</f>
        <v>1</v>
      </c>
      <c r="K8" s="595">
        <f>TRUNC(J8*I8)</f>
        <v>0</v>
      </c>
      <c r="L8" s="595">
        <f>단위당인건비!E11</f>
        <v>0</v>
      </c>
      <c r="M8" s="596">
        <f>J8</f>
        <v>1</v>
      </c>
      <c r="N8" s="595">
        <f>TRUNC(M8*L8)</f>
        <v>0</v>
      </c>
      <c r="O8" s="595"/>
      <c r="P8" s="596">
        <f>M8</f>
        <v>1</v>
      </c>
      <c r="Q8" s="595">
        <f>TRUNC(P8*O8)</f>
        <v>0</v>
      </c>
      <c r="R8" s="595">
        <f>SUM(F8,I8,L8,O8)</f>
        <v>241000</v>
      </c>
      <c r="S8" s="596">
        <f t="shared" ref="S8:S15" si="0">P8</f>
        <v>1</v>
      </c>
      <c r="T8" s="595">
        <f>TRUNC(S8*R8)</f>
        <v>241000</v>
      </c>
    </row>
    <row r="9" spans="1:21" ht="30" customHeight="1">
      <c r="A9" s="23" t="str">
        <f>IF(월기본급!A9="","",월기본급!A9)</f>
        <v>관리팀</v>
      </c>
      <c r="B9" s="23" t="str">
        <f>IF(월기본급!B9="","",월기본급!B9)</f>
        <v>관리팀장</v>
      </c>
      <c r="C9" s="520"/>
      <c r="D9" s="521" t="str">
        <f>IF(월기본급!D9="","",월기본급!D9)</f>
        <v>고급기술자</v>
      </c>
      <c r="E9" s="529"/>
      <c r="F9" s="595">
        <f>단위당인건비!E31</f>
        <v>241000</v>
      </c>
      <c r="G9" s="596">
        <f>투입인원!F9</f>
        <v>1</v>
      </c>
      <c r="H9" s="1229">
        <f t="shared" ref="H9:H15" si="1">TRUNC(G9*F9)</f>
        <v>241000</v>
      </c>
      <c r="I9" s="595">
        <f>단위당인건비!E32</f>
        <v>0</v>
      </c>
      <c r="J9" s="596">
        <f t="shared" ref="J9:J15" si="2">G9</f>
        <v>1</v>
      </c>
      <c r="K9" s="595">
        <f t="shared" ref="K9:K15" si="3">TRUNC(J9*I9)</f>
        <v>0</v>
      </c>
      <c r="L9" s="595">
        <f>단위당인건비!E33</f>
        <v>520560</v>
      </c>
      <c r="M9" s="596">
        <f t="shared" ref="M9:M15" si="4">J9</f>
        <v>1</v>
      </c>
      <c r="N9" s="595">
        <f t="shared" ref="N9:N15" si="5">TRUNC(M9*L9)</f>
        <v>520560</v>
      </c>
      <c r="O9" s="595"/>
      <c r="P9" s="596">
        <f t="shared" ref="P9:P15" si="6">M9</f>
        <v>1</v>
      </c>
      <c r="Q9" s="595">
        <f t="shared" ref="Q9:Q15" si="7">TRUNC(P9*O9)</f>
        <v>0</v>
      </c>
      <c r="R9" s="595">
        <f t="shared" ref="R9:R15" si="8">SUM(F9,I9,L9,O9)</f>
        <v>761560</v>
      </c>
      <c r="S9" s="596">
        <f t="shared" si="0"/>
        <v>1</v>
      </c>
      <c r="T9" s="595">
        <f t="shared" ref="T9:T15" si="9">TRUNC(S9*R9)</f>
        <v>761560</v>
      </c>
    </row>
    <row r="10" spans="1:21" ht="30" customHeight="1">
      <c r="A10" s="23" t="str">
        <f>IF(월기본급!A10="","",월기본급!A10)</f>
        <v>관리팀</v>
      </c>
      <c r="B10" s="23" t="str">
        <f>IF(월기본급!B10="","",월기본급!B10)</f>
        <v>관리팀원</v>
      </c>
      <c r="C10" s="520"/>
      <c r="D10" s="521" t="str">
        <f>IF(월기본급!D10="","",월기본급!D10)</f>
        <v>초급숙련기술자</v>
      </c>
      <c r="E10" s="529"/>
      <c r="F10" s="595">
        <f>단위당인건비!E229</f>
        <v>150680</v>
      </c>
      <c r="G10" s="596">
        <f>투입인원!F10</f>
        <v>1</v>
      </c>
      <c r="H10" s="1229">
        <f t="shared" ref="H10" si="10">TRUNC(G10*F10)</f>
        <v>150680</v>
      </c>
      <c r="I10" s="597"/>
      <c r="J10" s="596">
        <f t="shared" ref="J10" si="11">G10</f>
        <v>1</v>
      </c>
      <c r="K10" s="597"/>
      <c r="L10" s="595">
        <f>단위당인건비!E231</f>
        <v>325468</v>
      </c>
      <c r="M10" s="596">
        <f t="shared" ref="M10" si="12">J10</f>
        <v>1</v>
      </c>
      <c r="N10" s="595">
        <f t="shared" ref="N10" si="13">TRUNC(M10*L10)</f>
        <v>325468</v>
      </c>
      <c r="O10" s="597"/>
      <c r="P10" s="596">
        <f t="shared" ref="P10" si="14">M10</f>
        <v>1</v>
      </c>
      <c r="Q10" s="597"/>
      <c r="R10" s="595">
        <f t="shared" ref="R10" si="15">SUM(F10,I10,L10,O10)</f>
        <v>476148</v>
      </c>
      <c r="S10" s="596">
        <f t="shared" ref="S10" si="16">P10</f>
        <v>1</v>
      </c>
      <c r="T10" s="595">
        <f t="shared" ref="T10" si="17">TRUNC(S10*R10)</f>
        <v>476148</v>
      </c>
    </row>
    <row r="11" spans="1:21" ht="30" customHeight="1">
      <c r="A11" s="23" t="str">
        <f>IF(월기본급!A11="","",월기본급!A11)</f>
        <v>운영팀</v>
      </c>
      <c r="B11" s="23" t="str">
        <f>IF(월기본급!B11="","",월기본급!B11)</f>
        <v>전기팀장</v>
      </c>
      <c r="C11" s="520"/>
      <c r="D11" s="521" t="str">
        <f>IF(월기본급!D11="","",월기본급!D11)</f>
        <v>중급기술자</v>
      </c>
      <c r="E11" s="529"/>
      <c r="F11" s="595">
        <f>단위당인건비!E53</f>
        <v>202400</v>
      </c>
      <c r="G11" s="596">
        <f>투입인원!F11</f>
        <v>2</v>
      </c>
      <c r="H11" s="1229">
        <f t="shared" si="1"/>
        <v>404800</v>
      </c>
      <c r="I11" s="595">
        <f>단위당인건비!E54</f>
        <v>0</v>
      </c>
      <c r="J11" s="596">
        <f t="shared" si="2"/>
        <v>2</v>
      </c>
      <c r="K11" s="595">
        <f t="shared" si="3"/>
        <v>0</v>
      </c>
      <c r="L11" s="595">
        <f>단위당인건비!E55</f>
        <v>437184</v>
      </c>
      <c r="M11" s="596">
        <f t="shared" si="4"/>
        <v>2</v>
      </c>
      <c r="N11" s="595">
        <f t="shared" si="5"/>
        <v>874368</v>
      </c>
      <c r="O11" s="595"/>
      <c r="P11" s="596">
        <f t="shared" si="6"/>
        <v>2</v>
      </c>
      <c r="Q11" s="595">
        <f t="shared" si="7"/>
        <v>0</v>
      </c>
      <c r="R11" s="595">
        <f t="shared" si="8"/>
        <v>639584</v>
      </c>
      <c r="S11" s="596">
        <f t="shared" si="0"/>
        <v>2</v>
      </c>
      <c r="T11" s="595">
        <f t="shared" si="9"/>
        <v>1279168</v>
      </c>
    </row>
    <row r="12" spans="1:21" ht="30" customHeight="1">
      <c r="A12" s="23" t="str">
        <f>IF(월기본급!A12="","",월기본급!A12)</f>
        <v>운영팀</v>
      </c>
      <c r="B12" s="23" t="str">
        <f>IF(월기본급!B12="","",월기본급!B12)</f>
        <v>기계팀장</v>
      </c>
      <c r="C12" s="520"/>
      <c r="D12" s="521" t="str">
        <f>IF(월기본급!D12="","",월기본급!D12)</f>
        <v>중급기술자</v>
      </c>
      <c r="E12" s="529"/>
      <c r="F12" s="595">
        <f>단위당인건비!E75</f>
        <v>202400</v>
      </c>
      <c r="G12" s="596">
        <f>투입인원!F12</f>
        <v>2</v>
      </c>
      <c r="H12" s="1229">
        <f t="shared" si="1"/>
        <v>404800</v>
      </c>
      <c r="I12" s="595">
        <f>단위당인건비!E76</f>
        <v>0</v>
      </c>
      <c r="J12" s="596">
        <f t="shared" si="2"/>
        <v>2</v>
      </c>
      <c r="K12" s="595">
        <f t="shared" si="3"/>
        <v>0</v>
      </c>
      <c r="L12" s="595">
        <f>단위당인건비!E77</f>
        <v>437184</v>
      </c>
      <c r="M12" s="596">
        <f t="shared" si="4"/>
        <v>2</v>
      </c>
      <c r="N12" s="595">
        <f t="shared" si="5"/>
        <v>874368</v>
      </c>
      <c r="O12" s="595"/>
      <c r="P12" s="596">
        <f t="shared" si="6"/>
        <v>2</v>
      </c>
      <c r="Q12" s="595">
        <f t="shared" si="7"/>
        <v>0</v>
      </c>
      <c r="R12" s="595">
        <f t="shared" si="8"/>
        <v>639584</v>
      </c>
      <c r="S12" s="596">
        <f t="shared" si="0"/>
        <v>2</v>
      </c>
      <c r="T12" s="595">
        <f t="shared" si="9"/>
        <v>1279168</v>
      </c>
    </row>
    <row r="13" spans="1:21" ht="30" customHeight="1">
      <c r="A13" s="23" t="str">
        <f>IF(월기본급!A13="","",월기본급!A13)</f>
        <v>운영팀</v>
      </c>
      <c r="B13" s="23" t="str">
        <f>IF(월기본급!B13="","",월기본급!B13)</f>
        <v>전기담당</v>
      </c>
      <c r="C13" s="520"/>
      <c r="D13" s="521" t="str">
        <f>IF(월기본급!D13="","",월기본급!D13)</f>
        <v>초급기술자</v>
      </c>
      <c r="E13" s="529"/>
      <c r="F13" s="595">
        <f>단위당인건비!E97</f>
        <v>178310</v>
      </c>
      <c r="G13" s="596">
        <f>투입인원!F13</f>
        <v>2</v>
      </c>
      <c r="H13" s="1229">
        <f t="shared" si="1"/>
        <v>356620</v>
      </c>
      <c r="I13" s="595">
        <f>단위당인건비!E98</f>
        <v>0</v>
      </c>
      <c r="J13" s="596">
        <f t="shared" si="2"/>
        <v>2</v>
      </c>
      <c r="K13" s="595">
        <f t="shared" si="3"/>
        <v>0</v>
      </c>
      <c r="L13" s="595">
        <f>단위당인건비!E99</f>
        <v>385149</v>
      </c>
      <c r="M13" s="596">
        <f t="shared" si="4"/>
        <v>2</v>
      </c>
      <c r="N13" s="595">
        <f t="shared" si="5"/>
        <v>770298</v>
      </c>
      <c r="O13" s="595"/>
      <c r="P13" s="596">
        <f t="shared" si="6"/>
        <v>2</v>
      </c>
      <c r="Q13" s="595">
        <f t="shared" si="7"/>
        <v>0</v>
      </c>
      <c r="R13" s="595">
        <f t="shared" si="8"/>
        <v>563459</v>
      </c>
      <c r="S13" s="596">
        <f t="shared" si="0"/>
        <v>2</v>
      </c>
      <c r="T13" s="595">
        <f t="shared" si="9"/>
        <v>1126918</v>
      </c>
    </row>
    <row r="14" spans="1:21" ht="30" customHeight="1">
      <c r="A14" s="23" t="str">
        <f>IF(월기본급!A14="","",월기본급!A14)</f>
        <v>운영팀</v>
      </c>
      <c r="B14" s="23" t="str">
        <f>IF(월기본급!B14="","",월기본급!B14)</f>
        <v>기계담당</v>
      </c>
      <c r="C14" s="520"/>
      <c r="D14" s="521" t="str">
        <f>IF(월기본급!D14="","",월기본급!D14)</f>
        <v>초급기술자</v>
      </c>
      <c r="E14" s="529"/>
      <c r="F14" s="595">
        <f>단위당인건비!E119</f>
        <v>178310</v>
      </c>
      <c r="G14" s="596">
        <f>투입인원!F14</f>
        <v>2</v>
      </c>
      <c r="H14" s="1229">
        <f t="shared" si="1"/>
        <v>356620</v>
      </c>
      <c r="I14" s="595">
        <f>단위당인건비!E120</f>
        <v>0</v>
      </c>
      <c r="J14" s="596">
        <f t="shared" si="2"/>
        <v>2</v>
      </c>
      <c r="K14" s="595">
        <f t="shared" si="3"/>
        <v>0</v>
      </c>
      <c r="L14" s="595">
        <f>단위당인건비!E121</f>
        <v>385149</v>
      </c>
      <c r="M14" s="596">
        <f t="shared" si="4"/>
        <v>2</v>
      </c>
      <c r="N14" s="595">
        <f t="shared" si="5"/>
        <v>770298</v>
      </c>
      <c r="O14" s="595"/>
      <c r="P14" s="596">
        <f t="shared" si="6"/>
        <v>2</v>
      </c>
      <c r="Q14" s="595">
        <f t="shared" si="7"/>
        <v>0</v>
      </c>
      <c r="R14" s="595">
        <f t="shared" si="8"/>
        <v>563459</v>
      </c>
      <c r="S14" s="596">
        <f t="shared" si="0"/>
        <v>2</v>
      </c>
      <c r="T14" s="595">
        <f t="shared" si="9"/>
        <v>1126918</v>
      </c>
    </row>
    <row r="15" spans="1:21" ht="30" customHeight="1">
      <c r="A15" s="23" t="str">
        <f>IF(월기본급!A15="","",월기본급!A15)</f>
        <v>운영팀</v>
      </c>
      <c r="B15" s="23" t="str">
        <f>IF(월기본급!B15="","",월기본급!B15)</f>
        <v>전기담당</v>
      </c>
      <c r="C15" s="520"/>
      <c r="D15" s="521" t="str">
        <f>IF(월기본급!D15="","",월기본급!D15)</f>
        <v>고급숙련기술자</v>
      </c>
      <c r="E15" s="529"/>
      <c r="F15" s="597">
        <f>단위당인건비!E141</f>
        <v>192780</v>
      </c>
      <c r="G15" s="596">
        <f>투입인원!F15</f>
        <v>1</v>
      </c>
      <c r="H15" s="1230">
        <f t="shared" si="1"/>
        <v>192780</v>
      </c>
      <c r="I15" s="597">
        <f>단위당인건비!E142</f>
        <v>0</v>
      </c>
      <c r="J15" s="598">
        <f t="shared" si="2"/>
        <v>1</v>
      </c>
      <c r="K15" s="597">
        <f t="shared" si="3"/>
        <v>0</v>
      </c>
      <c r="L15" s="597">
        <f>단위당인건비!E143</f>
        <v>416404</v>
      </c>
      <c r="M15" s="598">
        <f t="shared" si="4"/>
        <v>1</v>
      </c>
      <c r="N15" s="597">
        <f t="shared" si="5"/>
        <v>416404</v>
      </c>
      <c r="O15" s="597"/>
      <c r="P15" s="598">
        <f t="shared" si="6"/>
        <v>1</v>
      </c>
      <c r="Q15" s="597">
        <f t="shared" si="7"/>
        <v>0</v>
      </c>
      <c r="R15" s="595">
        <f t="shared" si="8"/>
        <v>609184</v>
      </c>
      <c r="S15" s="598">
        <f t="shared" si="0"/>
        <v>1</v>
      </c>
      <c r="T15" s="597">
        <f t="shared" si="9"/>
        <v>609184</v>
      </c>
    </row>
    <row r="16" spans="1:21" ht="30" customHeight="1">
      <c r="A16" s="23" t="str">
        <f>IF(월기본급!A16="","",월기본급!A16)</f>
        <v>운영팀</v>
      </c>
      <c r="B16" s="23" t="str">
        <f>IF(월기본급!B16="","",월기본급!B16)</f>
        <v>기계담당</v>
      </c>
      <c r="C16" s="520"/>
      <c r="D16" s="521" t="str">
        <f>IF(월기본급!D16="","",월기본급!D16)</f>
        <v>고급숙련기술자</v>
      </c>
      <c r="E16" s="529"/>
      <c r="F16" s="597">
        <f>단위당인건비!E163</f>
        <v>192780</v>
      </c>
      <c r="G16" s="596">
        <f>투입인원!F16</f>
        <v>1</v>
      </c>
      <c r="H16" s="1230">
        <f>TRUNC(G16*F16)</f>
        <v>192780</v>
      </c>
      <c r="I16" s="597">
        <f>단위당인건비!E164</f>
        <v>0</v>
      </c>
      <c r="J16" s="598">
        <f>G16</f>
        <v>1</v>
      </c>
      <c r="K16" s="597">
        <f>TRUNC(J16*I16)</f>
        <v>0</v>
      </c>
      <c r="L16" s="597">
        <f>단위당인건비!E165</f>
        <v>416404</v>
      </c>
      <c r="M16" s="598">
        <f>J16</f>
        <v>1</v>
      </c>
      <c r="N16" s="597">
        <f>TRUNC(M16*L16)</f>
        <v>416404</v>
      </c>
      <c r="O16" s="597"/>
      <c r="P16" s="598">
        <f>M16</f>
        <v>1</v>
      </c>
      <c r="Q16" s="597">
        <f>TRUNC(P16*O16)</f>
        <v>0</v>
      </c>
      <c r="R16" s="595">
        <f>SUM(F16,I16,L16,O16)</f>
        <v>609184</v>
      </c>
      <c r="S16" s="598">
        <f>P16</f>
        <v>1</v>
      </c>
      <c r="T16" s="597">
        <f>TRUNC(S16*R16)</f>
        <v>609184</v>
      </c>
    </row>
    <row r="17" spans="1:20" ht="30" customHeight="1">
      <c r="A17" s="23" t="str">
        <f>IF(월기본급!A17="","",월기본급!A17)</f>
        <v>운영팀</v>
      </c>
      <c r="B17" s="23" t="str">
        <f>IF(월기본급!B17="","",월기본급!B17)</f>
        <v>전기담당</v>
      </c>
      <c r="C17" s="520"/>
      <c r="D17" s="521" t="str">
        <f>IF(월기본급!D17="","",월기본급!D17)</f>
        <v>중급숙련기술자</v>
      </c>
      <c r="E17" s="529"/>
      <c r="F17" s="597">
        <f>단위당인건비!E185</f>
        <v>171530</v>
      </c>
      <c r="G17" s="596">
        <f>투입인원!F17</f>
        <v>2</v>
      </c>
      <c r="H17" s="1230">
        <f>TRUNC(G17*F17)</f>
        <v>343060</v>
      </c>
      <c r="I17" s="597">
        <f>단위당인건비!E186</f>
        <v>0</v>
      </c>
      <c r="J17" s="598">
        <f>G17</f>
        <v>2</v>
      </c>
      <c r="K17" s="597">
        <f>TRUNC(J17*I17)</f>
        <v>0</v>
      </c>
      <c r="L17" s="597">
        <f>단위당인건비!E187</f>
        <v>370504</v>
      </c>
      <c r="M17" s="598">
        <f>J17</f>
        <v>2</v>
      </c>
      <c r="N17" s="597">
        <f>TRUNC(M17*L17)</f>
        <v>741008</v>
      </c>
      <c r="O17" s="597"/>
      <c r="P17" s="598">
        <f>M17</f>
        <v>2</v>
      </c>
      <c r="Q17" s="597">
        <f>TRUNC(P17*O17)</f>
        <v>0</v>
      </c>
      <c r="R17" s="595">
        <f>SUM(F17,I17,L17,O17)</f>
        <v>542034</v>
      </c>
      <c r="S17" s="598">
        <f>P17</f>
        <v>2</v>
      </c>
      <c r="T17" s="597">
        <f>TRUNC(S17*R17)</f>
        <v>1084068</v>
      </c>
    </row>
    <row r="18" spans="1:20" ht="30" customHeight="1">
      <c r="A18" s="23" t="str">
        <f>IF(월기본급!A18="","",월기본급!A18)</f>
        <v>운영팀</v>
      </c>
      <c r="B18" s="23" t="str">
        <f>IF(월기본급!B18="","",월기본급!B18)</f>
        <v>기계담당</v>
      </c>
      <c r="C18" s="520"/>
      <c r="D18" s="521" t="str">
        <f>IF(월기본급!D18="","",월기본급!D18)</f>
        <v>중급숙련기술자</v>
      </c>
      <c r="E18" s="529"/>
      <c r="F18" s="597">
        <f>단위당인건비!E207</f>
        <v>171530</v>
      </c>
      <c r="G18" s="596">
        <f>투입인원!F18</f>
        <v>2</v>
      </c>
      <c r="H18" s="1230">
        <f>TRUNC(G18*F18)</f>
        <v>343060</v>
      </c>
      <c r="I18" s="597">
        <f>단위당인건비!E208</f>
        <v>0</v>
      </c>
      <c r="J18" s="598">
        <f>G18</f>
        <v>2</v>
      </c>
      <c r="K18" s="597">
        <f>TRUNC(J18*I18)</f>
        <v>0</v>
      </c>
      <c r="L18" s="597">
        <f>단위당인건비!E209</f>
        <v>370504</v>
      </c>
      <c r="M18" s="598">
        <f>J18</f>
        <v>2</v>
      </c>
      <c r="N18" s="597">
        <f>TRUNC(M18*L18)</f>
        <v>741008</v>
      </c>
      <c r="O18" s="597"/>
      <c r="P18" s="598">
        <f>M18</f>
        <v>2</v>
      </c>
      <c r="Q18" s="597">
        <f>TRUNC(P18*O18)</f>
        <v>0</v>
      </c>
      <c r="R18" s="595">
        <f>SUM(F18,I18,L18,O18)</f>
        <v>542034</v>
      </c>
      <c r="S18" s="598">
        <f>P18</f>
        <v>2</v>
      </c>
      <c r="T18" s="597">
        <f>TRUNC(S18*R18)</f>
        <v>1084068</v>
      </c>
    </row>
    <row r="19" spans="1:20" ht="30" customHeight="1">
      <c r="A19" s="23" t="str">
        <f>IF(월기본급!A19="","",월기본급!A19)</f>
        <v>운영팀</v>
      </c>
      <c r="B19" s="23" t="str">
        <f>IF(월기본급!B19="","",월기본급!B19)</f>
        <v>전기담당</v>
      </c>
      <c r="C19" s="520"/>
      <c r="D19" s="521" t="str">
        <f>IF(월기본급!D19="","",월기본급!D19)</f>
        <v>초급숙련기술자</v>
      </c>
      <c r="E19" s="529"/>
      <c r="F19" s="597">
        <f>단위당인건비!E251</f>
        <v>150680</v>
      </c>
      <c r="G19" s="596">
        <f>투입인원!F19</f>
        <v>1</v>
      </c>
      <c r="H19" s="1230">
        <f>TRUNC(G19*F19)</f>
        <v>150680</v>
      </c>
      <c r="I19" s="597">
        <f>단위당인건비!E252</f>
        <v>0</v>
      </c>
      <c r="J19" s="598">
        <f>G19</f>
        <v>1</v>
      </c>
      <c r="K19" s="597">
        <f>TRUNC(J19*I19)</f>
        <v>0</v>
      </c>
      <c r="L19" s="597">
        <f>단위당인건비!E253</f>
        <v>325468</v>
      </c>
      <c r="M19" s="598">
        <f>J19</f>
        <v>1</v>
      </c>
      <c r="N19" s="597">
        <f>TRUNC(M19*L19)</f>
        <v>325468</v>
      </c>
      <c r="O19" s="597"/>
      <c r="P19" s="598">
        <f>M19</f>
        <v>1</v>
      </c>
      <c r="Q19" s="597">
        <f>TRUNC(P19*O19)</f>
        <v>0</v>
      </c>
      <c r="R19" s="595">
        <f>SUM(F19,I19,L19,O19)</f>
        <v>476148</v>
      </c>
      <c r="S19" s="598">
        <f>P19</f>
        <v>1</v>
      </c>
      <c r="T19" s="597">
        <f>TRUNC(S19*R19)</f>
        <v>476148</v>
      </c>
    </row>
    <row r="20" spans="1:20" ht="30" customHeight="1">
      <c r="A20" s="23" t="str">
        <f>IF(월기본급!A20="","",월기본급!A20)</f>
        <v>운영팀</v>
      </c>
      <c r="B20" s="23" t="str">
        <f>IF(월기본급!B20="","",월기본급!B20)</f>
        <v>기계담당</v>
      </c>
      <c r="C20" s="520"/>
      <c r="D20" s="521" t="str">
        <f>IF(월기본급!D20="","",월기본급!D20)</f>
        <v>초급숙련기술자</v>
      </c>
      <c r="E20" s="529"/>
      <c r="F20" s="597">
        <f>단위당인건비!E273</f>
        <v>150680</v>
      </c>
      <c r="G20" s="596">
        <f>투입인원!F20</f>
        <v>1</v>
      </c>
      <c r="H20" s="1230">
        <f t="shared" ref="H20:H24" si="18">TRUNC(G20*F20)</f>
        <v>150680</v>
      </c>
      <c r="I20" s="597"/>
      <c r="J20" s="598">
        <f t="shared" ref="J20:J24" si="19">G20</f>
        <v>1</v>
      </c>
      <c r="K20" s="597"/>
      <c r="L20" s="597">
        <f>단위당인건비!E275</f>
        <v>325468</v>
      </c>
      <c r="M20" s="598">
        <f t="shared" ref="M20:M24" si="20">J20</f>
        <v>1</v>
      </c>
      <c r="N20" s="597">
        <f t="shared" ref="N20:N24" si="21">TRUNC(M20*L20)</f>
        <v>325468</v>
      </c>
      <c r="O20" s="597"/>
      <c r="P20" s="598">
        <f t="shared" ref="P20:P24" si="22">M20</f>
        <v>1</v>
      </c>
      <c r="Q20" s="597"/>
      <c r="R20" s="595">
        <f t="shared" ref="R20:R24" si="23">SUM(F20,I20,L20,O20)</f>
        <v>476148</v>
      </c>
      <c r="S20" s="598">
        <f t="shared" ref="S20:S24" si="24">P20</f>
        <v>1</v>
      </c>
      <c r="T20" s="597">
        <f t="shared" ref="T20:T24" si="25">TRUNC(S20*R20)</f>
        <v>476148</v>
      </c>
    </row>
    <row r="21" spans="1:20" ht="30" customHeight="1">
      <c r="A21" s="23" t="str">
        <f>IF(월기본급!A21="","",월기본급!A21)</f>
        <v>환경팀</v>
      </c>
      <c r="B21" s="23" t="str">
        <f>IF(월기본급!B21="","",월기본급!B21)</f>
        <v>환경팀장</v>
      </c>
      <c r="C21" s="520"/>
      <c r="D21" s="521" t="str">
        <f>IF(월기본급!D21="","",월기본급!D21)</f>
        <v>초급숙련기술자</v>
      </c>
      <c r="E21" s="529"/>
      <c r="F21" s="597">
        <f>단위당인건비!E295</f>
        <v>150680</v>
      </c>
      <c r="G21" s="596">
        <f>투입인원!F21</f>
        <v>1</v>
      </c>
      <c r="H21" s="1230">
        <f t="shared" ref="H21" si="26">TRUNC(G21*F21)</f>
        <v>150680</v>
      </c>
      <c r="I21" s="597"/>
      <c r="J21" s="598">
        <f t="shared" ref="J21" si="27">G21</f>
        <v>1</v>
      </c>
      <c r="K21" s="597"/>
      <c r="L21" s="597">
        <f>단위당인건비!E297</f>
        <v>325468</v>
      </c>
      <c r="M21" s="598">
        <f t="shared" ref="M21" si="28">J21</f>
        <v>1</v>
      </c>
      <c r="N21" s="597">
        <f t="shared" ref="N21" si="29">TRUNC(M21*L21)</f>
        <v>325468</v>
      </c>
      <c r="O21" s="597"/>
      <c r="P21" s="598">
        <f t="shared" ref="P21" si="30">M21</f>
        <v>1</v>
      </c>
      <c r="Q21" s="597"/>
      <c r="R21" s="595">
        <f t="shared" ref="R21" si="31">SUM(F21,I21,L21,O21)</f>
        <v>476148</v>
      </c>
      <c r="S21" s="598">
        <f t="shared" ref="S21" si="32">P21</f>
        <v>1</v>
      </c>
      <c r="T21" s="597">
        <f t="shared" ref="T21" si="33">TRUNC(S21*R21)</f>
        <v>476148</v>
      </c>
    </row>
    <row r="22" spans="1:20" ht="30" customHeight="1">
      <c r="A22" s="23" t="str">
        <f>IF(월기본급!A22="","",월기본급!A22)</f>
        <v>환경팀</v>
      </c>
      <c r="B22" s="23" t="str">
        <f>IF(월기본급!B22="","",월기본급!B22)</f>
        <v>환경팀원</v>
      </c>
      <c r="C22" s="520"/>
      <c r="D22" s="521" t="str">
        <f>IF(월기본급!D22="","",월기본급!D22)</f>
        <v>단순노무종사원</v>
      </c>
      <c r="E22" s="529"/>
      <c r="F22" s="597">
        <f>단위당인건비!E317</f>
        <v>133570</v>
      </c>
      <c r="G22" s="596">
        <f>투입인원!F22</f>
        <v>2</v>
      </c>
      <c r="H22" s="1230">
        <f t="shared" si="18"/>
        <v>267140</v>
      </c>
      <c r="I22" s="597"/>
      <c r="J22" s="598">
        <f t="shared" si="19"/>
        <v>2</v>
      </c>
      <c r="K22" s="597"/>
      <c r="L22" s="597">
        <f>단위당인건비!E319</f>
        <v>288511</v>
      </c>
      <c r="M22" s="598">
        <f t="shared" si="20"/>
        <v>2</v>
      </c>
      <c r="N22" s="597">
        <f t="shared" si="21"/>
        <v>577022</v>
      </c>
      <c r="O22" s="597"/>
      <c r="P22" s="598">
        <f t="shared" si="22"/>
        <v>2</v>
      </c>
      <c r="Q22" s="597"/>
      <c r="R22" s="595">
        <f t="shared" si="23"/>
        <v>422081</v>
      </c>
      <c r="S22" s="598">
        <f t="shared" si="24"/>
        <v>2</v>
      </c>
      <c r="T22" s="597">
        <f t="shared" si="25"/>
        <v>844162</v>
      </c>
    </row>
    <row r="23" spans="1:20" ht="30" customHeight="1">
      <c r="A23" s="23" t="str">
        <f>IF(월기본급!A23="","",월기본급!A23)</f>
        <v>운반팀</v>
      </c>
      <c r="B23" s="23" t="str">
        <f>IF(월기본급!B23="","",월기본급!B23)</f>
        <v>운전원</v>
      </c>
      <c r="C23" s="520"/>
      <c r="D23" s="521" t="str">
        <f>IF(월기본급!D23="","",월기본급!D23)</f>
        <v>초급숙련기술자</v>
      </c>
      <c r="E23" s="529"/>
      <c r="F23" s="597">
        <f>단위당인건비!E339</f>
        <v>150680</v>
      </c>
      <c r="G23" s="596">
        <f>투입인원!F23</f>
        <v>1</v>
      </c>
      <c r="H23" s="1230">
        <f t="shared" si="18"/>
        <v>150680</v>
      </c>
      <c r="I23" s="597"/>
      <c r="J23" s="598">
        <f t="shared" si="19"/>
        <v>1</v>
      </c>
      <c r="K23" s="597"/>
      <c r="L23" s="597">
        <f>단위당인건비!E341</f>
        <v>325468</v>
      </c>
      <c r="M23" s="598">
        <f t="shared" si="20"/>
        <v>1</v>
      </c>
      <c r="N23" s="597">
        <f t="shared" si="21"/>
        <v>325468</v>
      </c>
      <c r="O23" s="597"/>
      <c r="P23" s="598">
        <f t="shared" si="22"/>
        <v>1</v>
      </c>
      <c r="Q23" s="597"/>
      <c r="R23" s="595">
        <f t="shared" si="23"/>
        <v>476148</v>
      </c>
      <c r="S23" s="598">
        <f t="shared" si="24"/>
        <v>1</v>
      </c>
      <c r="T23" s="597">
        <f t="shared" si="25"/>
        <v>476148</v>
      </c>
    </row>
    <row r="24" spans="1:20" ht="30" customHeight="1">
      <c r="A24" s="23" t="str">
        <f>IF(월기본급!A24="","",월기본급!A24)</f>
        <v>운반팀</v>
      </c>
      <c r="B24" s="23" t="str">
        <f>IF(월기본급!B24="","",월기본급!B24)</f>
        <v>운반팀원</v>
      </c>
      <c r="C24" s="520"/>
      <c r="D24" s="521" t="str">
        <f>IF(월기본급!D24="","",월기본급!D24)</f>
        <v>단순노무종사원</v>
      </c>
      <c r="E24" s="529"/>
      <c r="F24" s="597">
        <f>단위당인건비!E361</f>
        <v>133570</v>
      </c>
      <c r="G24" s="596">
        <f>투입인원!F24</f>
        <v>2</v>
      </c>
      <c r="H24" s="1230">
        <f t="shared" si="18"/>
        <v>267140</v>
      </c>
      <c r="I24" s="597">
        <f>단위당인건비!E274</f>
        <v>0</v>
      </c>
      <c r="J24" s="598">
        <f t="shared" si="19"/>
        <v>2</v>
      </c>
      <c r="K24" s="597">
        <f>TRUNC(J24*I24)</f>
        <v>0</v>
      </c>
      <c r="L24" s="597">
        <f>단위당인건비!E363</f>
        <v>288511</v>
      </c>
      <c r="M24" s="598">
        <f t="shared" si="20"/>
        <v>2</v>
      </c>
      <c r="N24" s="597">
        <f t="shared" si="21"/>
        <v>577022</v>
      </c>
      <c r="O24" s="597"/>
      <c r="P24" s="598">
        <f t="shared" si="22"/>
        <v>2</v>
      </c>
      <c r="Q24" s="597">
        <f>TRUNC(P24*O24)</f>
        <v>0</v>
      </c>
      <c r="R24" s="595">
        <f t="shared" si="23"/>
        <v>422081</v>
      </c>
      <c r="S24" s="598">
        <f t="shared" si="24"/>
        <v>2</v>
      </c>
      <c r="T24" s="597">
        <f t="shared" si="25"/>
        <v>844162</v>
      </c>
    </row>
    <row r="25" spans="1:20" ht="36" customHeight="1">
      <c r="A25" s="599" t="s">
        <v>89</v>
      </c>
      <c r="B25" s="22"/>
      <c r="C25" s="520"/>
      <c r="D25" s="521"/>
      <c r="E25" s="529"/>
      <c r="F25" s="595"/>
      <c r="G25" s="596">
        <f>SUM(G8:G24)</f>
        <v>25</v>
      </c>
      <c r="H25" s="595">
        <f>SUM(H8:H24)</f>
        <v>4364200</v>
      </c>
      <c r="I25" s="595"/>
      <c r="J25" s="596">
        <f>SUM(J8:J24)</f>
        <v>25</v>
      </c>
      <c r="K25" s="595">
        <f>SUM(K8:K24)</f>
        <v>0</v>
      </c>
      <c r="L25" s="595"/>
      <c r="M25" s="596">
        <f>SUM(M8:M24)</f>
        <v>25</v>
      </c>
      <c r="N25" s="595">
        <f>SUM(N8:N24)</f>
        <v>8906100</v>
      </c>
      <c r="O25" s="595"/>
      <c r="P25" s="596">
        <f>SUM(P8:P24)</f>
        <v>25</v>
      </c>
      <c r="Q25" s="595">
        <f>SUM(Q8:Q15)</f>
        <v>0</v>
      </c>
      <c r="R25" s="595"/>
      <c r="S25" s="596">
        <f>SUM(S8:S24)</f>
        <v>25</v>
      </c>
      <c r="T25" s="595">
        <f>SUM(T8:T24)</f>
        <v>13270300</v>
      </c>
    </row>
    <row r="26" spans="1:20" ht="19.5" customHeight="1">
      <c r="A26" s="69" t="str">
        <f>"주 1) 단위(1인당)인건비 : "&amp;단위당인건비!A1&amp;단위당인건비!A2&amp;" 참조"</f>
        <v>주 1) 단위(1인당)인건비 : [ 표 : 7 ] 직책별 단위(1인)당 인건비산출표 참조</v>
      </c>
      <c r="B26" s="69"/>
      <c r="C26" s="69"/>
      <c r="D26" s="69"/>
      <c r="E26" s="69"/>
    </row>
    <row r="27" spans="1:20" ht="19.5" customHeight="1">
      <c r="A27" s="69" t="str">
        <f>"   2) 작업인원 : "&amp;투입인원!A1&amp;투입인원!A2&amp;" 참조"</f>
        <v xml:space="preserve">   2) 작업인원 : [ 표 : 12 ] 적용직종 및 근무형태 참조</v>
      </c>
      <c r="B27" s="69"/>
      <c r="C27" s="69"/>
      <c r="D27" s="69"/>
      <c r="E27" s="69"/>
    </row>
  </sheetData>
  <mergeCells count="10">
    <mergeCell ref="A5:A6"/>
    <mergeCell ref="B5:B6"/>
    <mergeCell ref="C5:C6"/>
    <mergeCell ref="D5:D6"/>
    <mergeCell ref="E5:E6"/>
    <mergeCell ref="R5:T5"/>
    <mergeCell ref="I5:K5"/>
    <mergeCell ref="L5:N5"/>
    <mergeCell ref="O5:Q5"/>
    <mergeCell ref="F5:H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54" firstPageNumber="141" orientation="landscape" r:id="rId1"/>
  <headerFooter alignWithMargins="0">
    <oddFooter>&amp;C&amp;"바탕체,보통"&amp;12-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7"/>
  <sheetViews>
    <sheetView view="pageBreakPreview" zoomScale="80" zoomScaleNormal="90" zoomScaleSheetLayoutView="80" workbookViewId="0">
      <selection activeCell="AA25" sqref="AA25"/>
    </sheetView>
  </sheetViews>
  <sheetFormatPr defaultRowHeight="12"/>
  <cols>
    <col min="1" max="1" width="5.33203125" style="67" customWidth="1"/>
    <col min="2" max="2" width="1.6640625" style="67" customWidth="1"/>
    <col min="3" max="3" width="13.21875" style="67" customWidth="1"/>
    <col min="4" max="4" width="1.6640625" style="67" customWidth="1"/>
    <col min="5" max="5" width="12.77734375" style="58" customWidth="1"/>
    <col min="6" max="6" width="2.44140625" style="58" customWidth="1"/>
    <col min="7" max="7" width="23.77734375" style="317" customWidth="1"/>
    <col min="8" max="8" width="12.88671875" style="317" customWidth="1"/>
    <col min="9" max="9" width="6.5546875" style="565" hidden="1" customWidth="1"/>
    <col min="10" max="10" width="9.88671875" style="566" hidden="1" customWidth="1"/>
    <col min="11" max="11" width="6.33203125" style="565" hidden="1" customWidth="1"/>
    <col min="12" max="12" width="11.33203125" style="12" hidden="1" customWidth="1"/>
    <col min="13" max="13" width="8.5546875" style="12" hidden="1" customWidth="1"/>
    <col min="14" max="15" width="0" style="12" hidden="1" customWidth="1"/>
    <col min="16" max="16384" width="8.88671875" style="12"/>
  </cols>
  <sheetData>
    <row r="1" spans="1:16" ht="20.100000000000001" customHeight="1">
      <c r="A1" s="33" t="str">
        <f>"[ 표 : "&amp;I1&amp;" ] "</f>
        <v xml:space="preserve">[ 표 : 7 ] </v>
      </c>
      <c r="B1" s="3"/>
      <c r="C1" s="3"/>
      <c r="D1" s="3"/>
      <c r="I1" s="565">
        <f>제수당집계!U1+1</f>
        <v>7</v>
      </c>
    </row>
    <row r="2" spans="1:16" s="5" customFormat="1" ht="39.950000000000003" customHeight="1">
      <c r="A2" s="4" t="s">
        <v>133</v>
      </c>
      <c r="B2" s="4"/>
      <c r="C2" s="4"/>
      <c r="D2" s="4"/>
      <c r="E2" s="421"/>
      <c r="F2" s="421"/>
      <c r="G2" s="420"/>
      <c r="H2" s="420"/>
      <c r="I2" s="567"/>
      <c r="J2" s="568"/>
      <c r="K2" s="567"/>
    </row>
    <row r="3" spans="1:16" s="5" customFormat="1" ht="20.100000000000001" customHeight="1">
      <c r="A3" s="4"/>
      <c r="B3" s="4"/>
      <c r="C3" s="4"/>
      <c r="D3" s="4"/>
      <c r="E3" s="421"/>
      <c r="F3" s="421"/>
      <c r="G3" s="420"/>
      <c r="H3" s="420"/>
      <c r="I3" s="567"/>
      <c r="J3" s="568"/>
      <c r="K3" s="567"/>
    </row>
    <row r="4" spans="1:16" ht="20.100000000000001" customHeight="1">
      <c r="A4" s="569" t="str">
        <f>"구분 : "&amp;월기본급!$A$8&amp;"        직책 : "&amp;월기본급!$B$8&amp;"        직종명 : "&amp;월기본급!$D$8&amp;""</f>
        <v>구분 : 관리팀        직책 : 관리소장        직종명 : 고급기술자</v>
      </c>
      <c r="B4" s="69"/>
      <c r="C4" s="69"/>
      <c r="D4" s="69"/>
      <c r="E4" s="69"/>
      <c r="F4" s="432"/>
      <c r="G4" s="432"/>
      <c r="H4" s="422" t="s">
        <v>168</v>
      </c>
      <c r="I4" s="570">
        <f>월기본급!$H$8</f>
        <v>20.6</v>
      </c>
      <c r="J4" s="571" t="s">
        <v>212</v>
      </c>
      <c r="K4" s="572" t="s">
        <v>342</v>
      </c>
      <c r="L4" s="573"/>
      <c r="M4" s="574"/>
      <c r="N4" s="574"/>
    </row>
    <row r="5" spans="1:16" ht="39.950000000000003" customHeight="1">
      <c r="A5" s="1360" t="s">
        <v>113</v>
      </c>
      <c r="B5" s="1361"/>
      <c r="C5" s="1361"/>
      <c r="D5" s="1362"/>
      <c r="E5" s="1363" t="s">
        <v>155</v>
      </c>
      <c r="F5" s="1364"/>
      <c r="G5" s="423" t="s">
        <v>141</v>
      </c>
      <c r="H5" s="575" t="s">
        <v>154</v>
      </c>
      <c r="I5" s="576">
        <v>4</v>
      </c>
      <c r="J5" s="576" t="s">
        <v>206</v>
      </c>
      <c r="K5" s="576">
        <f>근무일수!Q11</f>
        <v>1.8</v>
      </c>
    </row>
    <row r="6" spans="1:16" ht="29.1" customHeight="1">
      <c r="A6" s="1365" t="s">
        <v>318</v>
      </c>
      <c r="B6" s="1366"/>
      <c r="C6" s="1366"/>
      <c r="D6" s="1367"/>
      <c r="E6" s="442">
        <f>TRUNC(E7*8,0)</f>
        <v>192800</v>
      </c>
      <c r="F6" s="428"/>
      <c r="G6" s="520"/>
      <c r="H6" s="276" t="s">
        <v>140</v>
      </c>
    </row>
    <row r="7" spans="1:16" ht="29.1" customHeight="1">
      <c r="A7" s="1365" t="s">
        <v>319</v>
      </c>
      <c r="B7" s="1366"/>
      <c r="C7" s="1366"/>
      <c r="D7" s="1367"/>
      <c r="E7" s="442">
        <f>TRUNC(월기본급!$G$8+(E13/209),0)</f>
        <v>24100</v>
      </c>
      <c r="F7" s="428"/>
      <c r="G7" s="520"/>
      <c r="H7" s="276" t="s">
        <v>137</v>
      </c>
    </row>
    <row r="8" spans="1:16" ht="29.1" customHeight="1">
      <c r="A8" s="1365" t="s">
        <v>320</v>
      </c>
      <c r="B8" s="1366"/>
      <c r="C8" s="1366"/>
      <c r="D8" s="1367"/>
      <c r="E8" s="442">
        <f>월기본급!$I$8</f>
        <v>3145125</v>
      </c>
      <c r="F8" s="428"/>
      <c r="G8" s="520" t="str">
        <f>월기본급!$A$1&amp;" 참조"</f>
        <v>[ 표 : 8 ]  참조</v>
      </c>
      <c r="H8" s="276" t="s">
        <v>138</v>
      </c>
    </row>
    <row r="9" spans="1:16" ht="29.1" customHeight="1">
      <c r="A9" s="1356" t="s">
        <v>255</v>
      </c>
      <c r="B9" s="368"/>
      <c r="C9" s="425" t="s">
        <v>114</v>
      </c>
      <c r="D9" s="369"/>
      <c r="E9" s="442">
        <f>TRUNC(E6*15/12,0)</f>
        <v>241000</v>
      </c>
      <c r="F9" s="428"/>
      <c r="G9" s="520" t="s">
        <v>250</v>
      </c>
      <c r="H9" s="276" t="s">
        <v>139</v>
      </c>
      <c r="N9" s="57"/>
      <c r="O9" s="57"/>
      <c r="P9" s="57"/>
    </row>
    <row r="10" spans="1:16" ht="29.1" customHeight="1">
      <c r="A10" s="1368"/>
      <c r="B10" s="368"/>
      <c r="C10" s="425" t="s">
        <v>251</v>
      </c>
      <c r="D10" s="369"/>
      <c r="E10" s="442">
        <f>TRUNC(E6*I10*150%)</f>
        <v>0</v>
      </c>
      <c r="F10" s="428"/>
      <c r="G10" s="520" t="s">
        <v>252</v>
      </c>
      <c r="H10" s="276" t="s">
        <v>214</v>
      </c>
      <c r="J10" s="566" t="s">
        <v>325</v>
      </c>
      <c r="L10" s="62"/>
      <c r="N10" s="57"/>
      <c r="O10" s="57"/>
      <c r="P10" s="57"/>
    </row>
    <row r="11" spans="1:16" ht="29.1" customHeight="1">
      <c r="A11" s="1368"/>
      <c r="B11" s="368"/>
      <c r="C11" s="425" t="s">
        <v>315</v>
      </c>
      <c r="D11" s="369"/>
      <c r="E11" s="442">
        <f>TRUNC(E6*I11*150%)</f>
        <v>0</v>
      </c>
      <c r="F11" s="428"/>
      <c r="G11" s="520" t="s">
        <v>252</v>
      </c>
      <c r="H11" s="276" t="s">
        <v>247</v>
      </c>
      <c r="J11" s="566" t="s">
        <v>560</v>
      </c>
      <c r="L11" s="62"/>
    </row>
    <row r="12" spans="1:16" ht="29.1" customHeight="1">
      <c r="A12" s="1357"/>
      <c r="B12" s="368"/>
      <c r="C12" s="425" t="s">
        <v>115</v>
      </c>
      <c r="D12" s="369"/>
      <c r="E12" s="442">
        <f>SUM(E9:E11)</f>
        <v>241000</v>
      </c>
      <c r="F12" s="428"/>
      <c r="G12" s="577"/>
      <c r="H12" s="276"/>
    </row>
    <row r="13" spans="1:16" ht="29.1" customHeight="1">
      <c r="A13" s="1365" t="s">
        <v>321</v>
      </c>
      <c r="B13" s="1366"/>
      <c r="C13" s="1366"/>
      <c r="D13" s="1367"/>
      <c r="E13" s="442">
        <f>TRUNC(E8*$I$5/12,0)</f>
        <v>1048375</v>
      </c>
      <c r="F13" s="428"/>
      <c r="G13" s="578"/>
      <c r="H13" s="276" t="s">
        <v>254</v>
      </c>
    </row>
    <row r="14" spans="1:16" ht="29.1" customHeight="1">
      <c r="A14" s="1365" t="s">
        <v>322</v>
      </c>
      <c r="B14" s="1366"/>
      <c r="C14" s="1366"/>
      <c r="D14" s="1367"/>
      <c r="E14" s="442">
        <f>TRUNC(SUM(E8,E12,E13)/12,0)</f>
        <v>369541</v>
      </c>
      <c r="F14" s="428"/>
      <c r="G14" s="578" t="s">
        <v>253</v>
      </c>
      <c r="H14" s="276" t="s">
        <v>267</v>
      </c>
    </row>
    <row r="15" spans="1:16" ht="29.1" customHeight="1">
      <c r="A15" s="1360" t="s">
        <v>116</v>
      </c>
      <c r="B15" s="1361"/>
      <c r="C15" s="1361"/>
      <c r="D15" s="1362"/>
      <c r="E15" s="442">
        <f>SUM(E8,E12,E13,E14)</f>
        <v>4804041</v>
      </c>
      <c r="F15" s="428"/>
      <c r="G15" s="442"/>
      <c r="H15" s="22"/>
    </row>
    <row r="16" spans="1:16" ht="29.1" customHeight="1">
      <c r="A16" s="25" t="str">
        <f>"주 1) 통상일급 : 통상시간급 × 8시간"</f>
        <v>주 1) 통상일급 : 통상시간급 × 8시간</v>
      </c>
      <c r="B16" s="12"/>
      <c r="C16" s="12"/>
      <c r="D16" s="12"/>
      <c r="G16" s="58"/>
      <c r="H16" s="58"/>
    </row>
    <row r="17" spans="1:14" ht="29.1" customHeight="1">
      <c r="A17" s="25" t="s">
        <v>326</v>
      </c>
      <c r="B17" s="12"/>
      <c r="C17" s="12"/>
      <c r="D17" s="12"/>
      <c r="G17" s="58"/>
      <c r="H17" s="58"/>
      <c r="N17" s="12">
        <f>192800*20.6</f>
        <v>3971680.0000000005</v>
      </c>
    </row>
    <row r="18" spans="1:14" ht="29.1" customHeight="1">
      <c r="A18" s="579" t="s">
        <v>746</v>
      </c>
      <c r="B18" s="12"/>
      <c r="C18" s="12"/>
      <c r="D18" s="12"/>
      <c r="G18" s="58"/>
      <c r="H18" s="58"/>
    </row>
    <row r="19" spans="1:14" s="433" customFormat="1" ht="29.1" customHeight="1">
      <c r="A19" s="25" t="str">
        <f>"   3) 기본급 : "&amp;월기본급!$A$1&amp;월기본급!$A$2&amp;" 참조"</f>
        <v xml:space="preserve">   3) 기본급 : [ 표 : 8 ] 월(M/M)당기본급산출표 참조</v>
      </c>
      <c r="B19" s="25"/>
      <c r="C19" s="25"/>
      <c r="D19" s="25"/>
      <c r="E19" s="431"/>
      <c r="F19" s="431"/>
      <c r="G19" s="431"/>
      <c r="H19" s="431"/>
      <c r="I19" s="580"/>
      <c r="J19" s="581"/>
      <c r="K19" s="580"/>
    </row>
    <row r="20" spans="1:14" s="433" customFormat="1" ht="29.1" customHeight="1">
      <c r="A20" s="582" t="str">
        <f>"   4) 년차수당 : "&amp;FIXED(E6,0)&amp;"(통상일급) × 15일/년 ÷ 12개월"</f>
        <v xml:space="preserve">   4) 년차수당 : 192,800(통상일급) × 15일/년 ÷ 12개월</v>
      </c>
      <c r="E20" s="432"/>
      <c r="F20" s="432"/>
      <c r="G20" s="277"/>
      <c r="H20" s="277"/>
      <c r="I20" s="580"/>
      <c r="J20" s="581"/>
      <c r="K20" s="580"/>
    </row>
    <row r="21" spans="1:14" s="433" customFormat="1" ht="29.1" customHeight="1">
      <c r="A21" s="69" t="str">
        <f>"   5) 연장근로수당 : "&amp;FIXED(E6,0)&amp;"(통상일급) × "&amp;I10&amp;"일(연장근로일수) × 150%"</f>
        <v xml:space="preserve">   5) 연장근로수당 : 192,800(통상일급) × 일(연장근로일수) × 150%</v>
      </c>
      <c r="B21" s="25"/>
      <c r="C21" s="25"/>
      <c r="D21" s="25"/>
      <c r="E21" s="583"/>
      <c r="F21" s="583"/>
      <c r="G21" s="583"/>
      <c r="H21" s="583"/>
      <c r="I21" s="584"/>
      <c r="J21" s="584"/>
      <c r="K21" s="580"/>
      <c r="L21" s="582"/>
    </row>
    <row r="22" spans="1:14" s="433" customFormat="1" ht="29.1" customHeight="1">
      <c r="A22" s="69" t="str">
        <f>"   6) 휴일근로수당 : "&amp;FIXED(E6,0)&amp;"(통상일급) × "&amp;I11&amp;"일(휴일근로일수) × 150%"</f>
        <v xml:space="preserve">   6) 휴일근로수당 : 192,800(통상일급) × 일(휴일근로일수) × 150%</v>
      </c>
      <c r="B22" s="25"/>
      <c r="C22" s="25"/>
      <c r="D22" s="25"/>
      <c r="E22" s="583"/>
      <c r="F22" s="583"/>
      <c r="G22" s="583"/>
      <c r="H22" s="583"/>
      <c r="I22" s="584"/>
      <c r="J22" s="584"/>
      <c r="K22" s="580"/>
      <c r="L22" s="582"/>
    </row>
    <row r="23" spans="1:14" ht="29.1" customHeight="1">
      <c r="A23" s="582" t="str">
        <f>"   7) 상여금 : "&amp;FIXED(E8,0)&amp;"(기본급) × "&amp;$I$5&amp;"개월(년 "&amp;$I$5*100&amp;"% 적용) ÷ 12개월"</f>
        <v xml:space="preserve">   7) 상여금 : 3,145,125(기본급) × 4개월(년 400% 적용) ÷ 12개월</v>
      </c>
      <c r="G23" s="58"/>
      <c r="H23" s="58"/>
    </row>
    <row r="24" spans="1:14" ht="29.1" customHeight="1">
      <c r="A24" s="582" t="str">
        <f>"   8) 퇴직급여충당금 : {"&amp;FIXED(E8,0)&amp;"(기본급)+"&amp;FIXED(E12,0)&amp;"(제수당)+"&amp;FIXED(E13,0)&amp;"(상여금)} ÷ 12개월"</f>
        <v xml:space="preserve">   8) 퇴직급여충당금 : {3,145,125(기본급)+241,000(제수당)+1,048,375(상여금)} ÷ 12개월</v>
      </c>
      <c r="B24" s="585"/>
      <c r="C24" s="585"/>
      <c r="D24" s="585"/>
      <c r="E24" s="585"/>
      <c r="F24" s="585"/>
      <c r="G24" s="585"/>
      <c r="H24" s="585"/>
    </row>
    <row r="25" spans="1:14" ht="29.1" customHeight="1">
      <c r="A25" s="3"/>
      <c r="B25" s="3"/>
      <c r="C25" s="3"/>
      <c r="D25" s="3"/>
    </row>
    <row r="26" spans="1:14" ht="20.100000000000001" customHeight="1">
      <c r="A26" s="569" t="str">
        <f>"구분 : "&amp;월기본급!$A$9&amp;"        직책 : "&amp;월기본급!$B$9&amp;"        직종명 : "&amp;월기본급!$D$9&amp;""</f>
        <v>구분 : 관리팀        직책 : 관리팀장        직종명 : 고급기술자</v>
      </c>
      <c r="B26" s="69"/>
      <c r="C26" s="69"/>
      <c r="D26" s="69"/>
      <c r="E26" s="69"/>
      <c r="F26" s="432"/>
      <c r="G26" s="432"/>
      <c r="H26" s="422" t="s">
        <v>168</v>
      </c>
      <c r="I26" s="586">
        <f>월기본급!$H$9</f>
        <v>20.6</v>
      </c>
      <c r="J26" s="566" t="s">
        <v>212</v>
      </c>
      <c r="K26" s="587"/>
      <c r="L26" s="573"/>
      <c r="M26" s="573"/>
      <c r="N26" s="573"/>
    </row>
    <row r="27" spans="1:14" ht="39.950000000000003" customHeight="1">
      <c r="A27" s="1360" t="s">
        <v>113</v>
      </c>
      <c r="B27" s="1361"/>
      <c r="C27" s="1361"/>
      <c r="D27" s="1362"/>
      <c r="E27" s="1363" t="s">
        <v>155</v>
      </c>
      <c r="F27" s="1364"/>
      <c r="G27" s="423" t="s">
        <v>141</v>
      </c>
      <c r="H27" s="575" t="s">
        <v>154</v>
      </c>
      <c r="K27" s="588"/>
    </row>
    <row r="28" spans="1:14" ht="30" customHeight="1">
      <c r="A28" s="1365" t="s">
        <v>318</v>
      </c>
      <c r="B28" s="1366"/>
      <c r="C28" s="1366"/>
      <c r="D28" s="1367"/>
      <c r="E28" s="442">
        <f>TRUNC(E29*8,0)</f>
        <v>192800</v>
      </c>
      <c r="F28" s="428"/>
      <c r="G28" s="520"/>
      <c r="H28" s="276" t="s">
        <v>140</v>
      </c>
    </row>
    <row r="29" spans="1:14" ht="30" customHeight="1">
      <c r="A29" s="1365" t="s">
        <v>319</v>
      </c>
      <c r="B29" s="1366"/>
      <c r="C29" s="1366"/>
      <c r="D29" s="1367"/>
      <c r="E29" s="442">
        <f>TRUNC(월기본급!$G$9+(E35/209),0)</f>
        <v>24100</v>
      </c>
      <c r="F29" s="428"/>
      <c r="G29" s="520"/>
      <c r="H29" s="276" t="s">
        <v>137</v>
      </c>
    </row>
    <row r="30" spans="1:14" ht="30" customHeight="1">
      <c r="A30" s="1365" t="s">
        <v>320</v>
      </c>
      <c r="B30" s="1366"/>
      <c r="C30" s="1366"/>
      <c r="D30" s="1367"/>
      <c r="E30" s="442">
        <f>월기본급!$I$9</f>
        <v>3145125</v>
      </c>
      <c r="F30" s="428"/>
      <c r="G30" s="520" t="str">
        <f>월기본급!$A$1&amp;" 참조"</f>
        <v>[ 표 : 8 ]  참조</v>
      </c>
      <c r="H30" s="276" t="s">
        <v>138</v>
      </c>
    </row>
    <row r="31" spans="1:14" ht="30" customHeight="1">
      <c r="A31" s="1356" t="s">
        <v>255</v>
      </c>
      <c r="B31" s="368"/>
      <c r="C31" s="425" t="s">
        <v>114</v>
      </c>
      <c r="D31" s="369"/>
      <c r="E31" s="442">
        <f>TRUNC(E28*15/12,0)</f>
        <v>241000</v>
      </c>
      <c r="F31" s="428"/>
      <c r="G31" s="520" t="s">
        <v>249</v>
      </c>
      <c r="H31" s="276" t="s">
        <v>139</v>
      </c>
    </row>
    <row r="32" spans="1:14" ht="30" customHeight="1">
      <c r="A32" s="1368"/>
      <c r="B32" s="368"/>
      <c r="C32" s="425" t="s">
        <v>251</v>
      </c>
      <c r="D32" s="369"/>
      <c r="E32" s="442">
        <f>TRUNC(E28*I32*150%)</f>
        <v>0</v>
      </c>
      <c r="F32" s="428"/>
      <c r="G32" s="520" t="s">
        <v>252</v>
      </c>
      <c r="H32" s="276" t="s">
        <v>214</v>
      </c>
      <c r="J32" s="566" t="s">
        <v>323</v>
      </c>
      <c r="L32" s="62"/>
    </row>
    <row r="33" spans="1:14" ht="30" customHeight="1">
      <c r="A33" s="1368"/>
      <c r="B33" s="368"/>
      <c r="C33" s="425" t="s">
        <v>315</v>
      </c>
      <c r="D33" s="369"/>
      <c r="E33" s="442">
        <f>TRUNC(E28*I33*150%)</f>
        <v>520560</v>
      </c>
      <c r="F33" s="428"/>
      <c r="G33" s="520" t="s">
        <v>252</v>
      </c>
      <c r="H33" s="276" t="s">
        <v>247</v>
      </c>
      <c r="I33" s="565">
        <f>$K$5</f>
        <v>1.8</v>
      </c>
      <c r="J33" s="566" t="s">
        <v>324</v>
      </c>
      <c r="L33" s="62"/>
    </row>
    <row r="34" spans="1:14" ht="30" customHeight="1">
      <c r="A34" s="1357"/>
      <c r="B34" s="368"/>
      <c r="C34" s="425" t="s">
        <v>115</v>
      </c>
      <c r="D34" s="369"/>
      <c r="E34" s="442">
        <f>SUM(E31:E33)</f>
        <v>761560</v>
      </c>
      <c r="F34" s="428"/>
      <c r="G34" s="577"/>
      <c r="H34" s="276"/>
    </row>
    <row r="35" spans="1:14" ht="30" customHeight="1">
      <c r="A35" s="1365" t="s">
        <v>321</v>
      </c>
      <c r="B35" s="1366"/>
      <c r="C35" s="1366"/>
      <c r="D35" s="1367"/>
      <c r="E35" s="442">
        <f>TRUNC(E30*$I$5/12,0)</f>
        <v>1048375</v>
      </c>
      <c r="F35" s="428"/>
      <c r="G35" s="578"/>
      <c r="H35" s="276" t="s">
        <v>254</v>
      </c>
    </row>
    <row r="36" spans="1:14" ht="30" customHeight="1">
      <c r="A36" s="1365" t="s">
        <v>322</v>
      </c>
      <c r="B36" s="1366"/>
      <c r="C36" s="1366"/>
      <c r="D36" s="1367"/>
      <c r="E36" s="442">
        <f>TRUNC(SUM(E30,E34,E35)/12,0)</f>
        <v>412921</v>
      </c>
      <c r="F36" s="428"/>
      <c r="G36" s="578" t="s">
        <v>209</v>
      </c>
      <c r="H36" s="276" t="s">
        <v>267</v>
      </c>
    </row>
    <row r="37" spans="1:14" ht="30" customHeight="1">
      <c r="A37" s="1360" t="s">
        <v>116</v>
      </c>
      <c r="B37" s="1361"/>
      <c r="C37" s="1361"/>
      <c r="D37" s="1362"/>
      <c r="E37" s="442">
        <f>SUM(E30,E34,E35,E36)</f>
        <v>5367981</v>
      </c>
      <c r="F37" s="428"/>
      <c r="G37" s="442"/>
      <c r="H37" s="22"/>
    </row>
    <row r="38" spans="1:14" s="433" customFormat="1" ht="30" customHeight="1">
      <c r="A38" s="25" t="str">
        <f>"주 1) 통상일급 : 통상시간급 × 8시간"</f>
        <v>주 1) 통상일급 : 통상시간급 × 8시간</v>
      </c>
      <c r="B38" s="25"/>
      <c r="C38" s="25"/>
      <c r="D38" s="25"/>
      <c r="E38" s="431"/>
      <c r="F38" s="431"/>
      <c r="G38" s="431"/>
      <c r="H38" s="431"/>
      <c r="I38" s="580"/>
      <c r="J38" s="581"/>
      <c r="K38" s="580"/>
    </row>
    <row r="39" spans="1:14" s="433" customFormat="1" ht="30" customHeight="1">
      <c r="A39" s="25" t="s">
        <v>326</v>
      </c>
      <c r="E39" s="432"/>
      <c r="F39" s="432"/>
      <c r="G39" s="277"/>
      <c r="H39" s="277"/>
      <c r="I39" s="580"/>
      <c r="J39" s="581"/>
      <c r="K39" s="580"/>
    </row>
    <row r="40" spans="1:14" ht="29.1" customHeight="1">
      <c r="A40" s="579" t="s">
        <v>746</v>
      </c>
      <c r="B40" s="12"/>
      <c r="C40" s="12"/>
      <c r="D40" s="12"/>
      <c r="G40" s="58"/>
      <c r="H40" s="58"/>
    </row>
    <row r="41" spans="1:14" s="433" customFormat="1" ht="30" customHeight="1">
      <c r="A41" s="25" t="str">
        <f>"   3) 기본급 : "&amp;월기본급!$A$1&amp;월기본급!$A$2&amp;" 참조"</f>
        <v xml:space="preserve">   3) 기본급 : [ 표 : 8 ] 월(M/M)당기본급산출표 참조</v>
      </c>
      <c r="B41" s="25"/>
      <c r="C41" s="25"/>
      <c r="D41" s="25"/>
      <c r="E41" s="583"/>
      <c r="F41" s="583"/>
      <c r="G41" s="583"/>
      <c r="H41" s="583"/>
      <c r="I41" s="584"/>
      <c r="J41" s="584"/>
      <c r="K41" s="580"/>
      <c r="L41" s="582"/>
    </row>
    <row r="42" spans="1:14" s="433" customFormat="1" ht="30" customHeight="1">
      <c r="A42" s="582" t="str">
        <f>"   4) 년차수당 : "&amp;FIXED(E28,0)&amp;"(통상일급) × 15일/년 ÷ 12개월"</f>
        <v xml:space="preserve">   4) 년차수당 : 192,800(통상일급) × 15일/년 ÷ 12개월</v>
      </c>
      <c r="B42" s="25"/>
      <c r="C42" s="25"/>
      <c r="D42" s="25"/>
      <c r="E42" s="583"/>
      <c r="F42" s="583"/>
      <c r="G42" s="583"/>
      <c r="H42" s="583"/>
      <c r="I42" s="584"/>
      <c r="J42" s="584"/>
      <c r="K42" s="580"/>
      <c r="L42" s="582"/>
    </row>
    <row r="43" spans="1:14" s="433" customFormat="1" ht="30" customHeight="1">
      <c r="A43" s="69" t="str">
        <f>"   5) 연장근로수당 : "&amp;FIXED(E28,0)&amp;"(통상일급) × "&amp;I32&amp;"일(연장근로일수) × 150%"</f>
        <v xml:space="preserve">   5) 연장근로수당 : 192,800(통상일급) × 일(연장근로일수) × 150%</v>
      </c>
      <c r="B43" s="25"/>
      <c r="C43" s="25"/>
      <c r="D43" s="25"/>
      <c r="E43" s="583"/>
      <c r="F43" s="583"/>
      <c r="G43" s="583"/>
      <c r="H43" s="583"/>
      <c r="I43" s="584"/>
      <c r="J43" s="584"/>
      <c r="K43" s="580"/>
      <c r="L43" s="582"/>
    </row>
    <row r="44" spans="1:14" ht="30" customHeight="1">
      <c r="A44" s="69" t="str">
        <f>"   6) 휴일근로수당 : "&amp;FIXED(E28,0)&amp;"(통상일급) × "&amp;I33&amp;"일(휴일근로일수) × 150%"</f>
        <v xml:space="preserve">   6) 휴일근로수당 : 192,800(통상일급) × 1.8일(휴일근로일수) × 150%</v>
      </c>
      <c r="G44" s="58"/>
      <c r="H44" s="58"/>
      <c r="I44" s="12"/>
      <c r="J44" s="69"/>
      <c r="K44" s="12"/>
    </row>
    <row r="45" spans="1:14" ht="30" customHeight="1">
      <c r="A45" s="582" t="str">
        <f>"   7) 상여금 : "&amp;FIXED(E30,0)&amp;"(기본급) × "&amp;$I$5&amp;"개월(년 "&amp;$I$5*100&amp;"% 적용) ÷ 12개월"</f>
        <v xml:space="preserve">   7) 상여금 : 3,145,125(기본급) × 4개월(년 400% 적용) ÷ 12개월</v>
      </c>
      <c r="G45" s="58"/>
      <c r="H45" s="58"/>
    </row>
    <row r="46" spans="1:14" ht="30" customHeight="1">
      <c r="A46" s="582" t="str">
        <f>"   8) 퇴직급여충당금 : {"&amp;FIXED(E30,0)&amp;"(기본급)+"&amp;FIXED(E34,0)&amp;"(제수당)+"&amp;FIXED(E35,0)&amp;"(상여금)} ÷ 12개월"</f>
        <v xml:space="preserve">   8) 퇴직급여충당금 : {3,145,125(기본급)+761,560(제수당)+1,048,375(상여금)} ÷ 12개월</v>
      </c>
      <c r="B46" s="585"/>
      <c r="C46" s="585"/>
      <c r="D46" s="585"/>
      <c r="E46" s="585"/>
      <c r="F46" s="585"/>
      <c r="G46" s="585"/>
      <c r="H46" s="585"/>
    </row>
    <row r="47" spans="1:14" ht="30" customHeight="1">
      <c r="A47" s="3"/>
      <c r="B47" s="3"/>
      <c r="C47" s="3"/>
      <c r="D47" s="3"/>
    </row>
    <row r="48" spans="1:14" ht="20.100000000000001" customHeight="1">
      <c r="A48" s="569" t="str">
        <f>"구분 : "&amp;월기본급!$A$11&amp;"        직책 : "&amp;월기본급!$B$11&amp;"        직종명 : "&amp;월기본급!$D$11&amp;""</f>
        <v>구분 : 운영팀        직책 : 전기팀장        직종명 : 중급기술자</v>
      </c>
      <c r="B48" s="69"/>
      <c r="C48" s="69"/>
      <c r="D48" s="69"/>
      <c r="E48" s="69"/>
      <c r="F48" s="432"/>
      <c r="G48" s="432"/>
      <c r="H48" s="422" t="s">
        <v>168</v>
      </c>
      <c r="I48" s="586">
        <f>월기본급!H11</f>
        <v>20.6</v>
      </c>
      <c r="J48" s="566" t="s">
        <v>212</v>
      </c>
      <c r="K48" s="587"/>
      <c r="L48" s="573"/>
      <c r="M48" s="573"/>
      <c r="N48" s="573"/>
    </row>
    <row r="49" spans="1:12" ht="39.950000000000003" customHeight="1">
      <c r="A49" s="1360" t="s">
        <v>113</v>
      </c>
      <c r="B49" s="1361"/>
      <c r="C49" s="1361"/>
      <c r="D49" s="1362"/>
      <c r="E49" s="1363" t="s">
        <v>155</v>
      </c>
      <c r="F49" s="1364"/>
      <c r="G49" s="423" t="s">
        <v>141</v>
      </c>
      <c r="H49" s="575" t="s">
        <v>154</v>
      </c>
      <c r="K49" s="588"/>
    </row>
    <row r="50" spans="1:12" ht="30" customHeight="1">
      <c r="A50" s="1365" t="s">
        <v>318</v>
      </c>
      <c r="B50" s="1366"/>
      <c r="C50" s="1366"/>
      <c r="D50" s="1367"/>
      <c r="E50" s="442">
        <f>TRUNC(E51*8,0)</f>
        <v>161920</v>
      </c>
      <c r="F50" s="428"/>
      <c r="G50" s="520"/>
      <c r="H50" s="276" t="s">
        <v>140</v>
      </c>
    </row>
    <row r="51" spans="1:12" ht="30" customHeight="1">
      <c r="A51" s="1365" t="s">
        <v>319</v>
      </c>
      <c r="B51" s="1366"/>
      <c r="C51" s="1366"/>
      <c r="D51" s="1367"/>
      <c r="E51" s="442">
        <f>TRUNC(월기본급!$G$11+(E57/209),0)</f>
        <v>20240</v>
      </c>
      <c r="F51" s="428"/>
      <c r="G51" s="520"/>
      <c r="H51" s="276" t="s">
        <v>137</v>
      </c>
    </row>
    <row r="52" spans="1:12" ht="30" customHeight="1">
      <c r="A52" s="1365" t="s">
        <v>320</v>
      </c>
      <c r="B52" s="1366"/>
      <c r="C52" s="1366"/>
      <c r="D52" s="1367"/>
      <c r="E52" s="442">
        <f>월기본급!$I$11</f>
        <v>2641455</v>
      </c>
      <c r="F52" s="428"/>
      <c r="G52" s="520" t="str">
        <f>월기본급!$A$1&amp;" 참조"</f>
        <v>[ 표 : 8 ]  참조</v>
      </c>
      <c r="H52" s="276" t="s">
        <v>138</v>
      </c>
    </row>
    <row r="53" spans="1:12" ht="30" customHeight="1">
      <c r="A53" s="1356" t="s">
        <v>255</v>
      </c>
      <c r="B53" s="368"/>
      <c r="C53" s="425" t="s">
        <v>114</v>
      </c>
      <c r="D53" s="369"/>
      <c r="E53" s="442">
        <f>TRUNC(E50*15/12,0)</f>
        <v>202400</v>
      </c>
      <c r="F53" s="428"/>
      <c r="G53" s="520" t="s">
        <v>249</v>
      </c>
      <c r="H53" s="276" t="s">
        <v>139</v>
      </c>
    </row>
    <row r="54" spans="1:12" ht="30" customHeight="1">
      <c r="A54" s="1368"/>
      <c r="B54" s="368"/>
      <c r="C54" s="425" t="s">
        <v>251</v>
      </c>
      <c r="D54" s="369"/>
      <c r="E54" s="442">
        <f>TRUNC(E50*I54*150%)</f>
        <v>0</v>
      </c>
      <c r="F54" s="428"/>
      <c r="G54" s="520" t="s">
        <v>252</v>
      </c>
      <c r="H54" s="276" t="s">
        <v>214</v>
      </c>
      <c r="J54" s="566" t="s">
        <v>323</v>
      </c>
      <c r="L54" s="62"/>
    </row>
    <row r="55" spans="1:12" ht="30" customHeight="1">
      <c r="A55" s="1368"/>
      <c r="B55" s="368"/>
      <c r="C55" s="425" t="s">
        <v>315</v>
      </c>
      <c r="D55" s="369"/>
      <c r="E55" s="442">
        <f>TRUNC(E50*I55*150%)</f>
        <v>437184</v>
      </c>
      <c r="F55" s="428"/>
      <c r="G55" s="520" t="s">
        <v>252</v>
      </c>
      <c r="H55" s="276" t="s">
        <v>247</v>
      </c>
      <c r="I55" s="565">
        <f>$K$5</f>
        <v>1.8</v>
      </c>
      <c r="J55" s="566" t="s">
        <v>324</v>
      </c>
      <c r="L55" s="62"/>
    </row>
    <row r="56" spans="1:12" ht="30" customHeight="1">
      <c r="A56" s="1357"/>
      <c r="B56" s="368"/>
      <c r="C56" s="425" t="s">
        <v>115</v>
      </c>
      <c r="D56" s="369"/>
      <c r="E56" s="442">
        <f>SUM(E53:E55)</f>
        <v>639584</v>
      </c>
      <c r="F56" s="428"/>
      <c r="G56" s="577"/>
      <c r="H56" s="276"/>
    </row>
    <row r="57" spans="1:12" ht="30" customHeight="1">
      <c r="A57" s="1365" t="s">
        <v>321</v>
      </c>
      <c r="B57" s="1366"/>
      <c r="C57" s="1366"/>
      <c r="D57" s="1367"/>
      <c r="E57" s="442">
        <f>TRUNC(E52*$I$5/12,0)</f>
        <v>880485</v>
      </c>
      <c r="F57" s="428"/>
      <c r="G57" s="578"/>
      <c r="H57" s="276" t="s">
        <v>254</v>
      </c>
    </row>
    <row r="58" spans="1:12" ht="30" customHeight="1">
      <c r="A58" s="1365" t="s">
        <v>322</v>
      </c>
      <c r="B58" s="1366"/>
      <c r="C58" s="1366"/>
      <c r="D58" s="1367"/>
      <c r="E58" s="442">
        <f>TRUNC(SUM(E52,E56,E57)/12,0)</f>
        <v>346793</v>
      </c>
      <c r="F58" s="428"/>
      <c r="G58" s="578" t="s">
        <v>209</v>
      </c>
      <c r="H58" s="276" t="s">
        <v>267</v>
      </c>
    </row>
    <row r="59" spans="1:12" ht="30" customHeight="1">
      <c r="A59" s="1360" t="s">
        <v>116</v>
      </c>
      <c r="B59" s="1361"/>
      <c r="C59" s="1361"/>
      <c r="D59" s="1362"/>
      <c r="E59" s="442">
        <f>SUM(E52,E56,E57,E58)</f>
        <v>4508317</v>
      </c>
      <c r="F59" s="428"/>
      <c r="G59" s="442"/>
      <c r="H59" s="22"/>
    </row>
    <row r="60" spans="1:12" s="433" customFormat="1" ht="30" customHeight="1">
      <c r="A60" s="25" t="str">
        <f>"주 1) 통상일급 : 통상시간급 × 8시간"</f>
        <v>주 1) 통상일급 : 통상시간급 × 8시간</v>
      </c>
      <c r="B60" s="25"/>
      <c r="C60" s="25"/>
      <c r="D60" s="25"/>
      <c r="E60" s="431"/>
      <c r="F60" s="431"/>
      <c r="G60" s="431"/>
      <c r="H60" s="431"/>
      <c r="I60" s="580"/>
      <c r="J60" s="581"/>
      <c r="K60" s="580"/>
    </row>
    <row r="61" spans="1:12" s="433" customFormat="1" ht="30" customHeight="1">
      <c r="A61" s="25" t="s">
        <v>326</v>
      </c>
      <c r="E61" s="432"/>
      <c r="F61" s="432"/>
      <c r="G61" s="277"/>
      <c r="H61" s="277"/>
      <c r="I61" s="580"/>
      <c r="J61" s="581"/>
      <c r="K61" s="580"/>
    </row>
    <row r="62" spans="1:12" ht="29.1" customHeight="1">
      <c r="A62" s="579" t="s">
        <v>746</v>
      </c>
      <c r="B62" s="12"/>
      <c r="C62" s="12"/>
      <c r="D62" s="12"/>
      <c r="G62" s="58"/>
      <c r="H62" s="58"/>
    </row>
    <row r="63" spans="1:12" s="433" customFormat="1" ht="30" customHeight="1">
      <c r="A63" s="25" t="str">
        <f>"   3) 기본급 : "&amp;월기본급!$A$1&amp;월기본급!$A$2&amp;" 참조"</f>
        <v xml:space="preserve">   3) 기본급 : [ 표 : 8 ] 월(M/M)당기본급산출표 참조</v>
      </c>
      <c r="B63" s="25"/>
      <c r="C63" s="25"/>
      <c r="D63" s="25"/>
      <c r="E63" s="583"/>
      <c r="F63" s="583"/>
      <c r="G63" s="583"/>
      <c r="H63" s="583"/>
      <c r="I63" s="584"/>
      <c r="J63" s="584"/>
      <c r="K63" s="580"/>
      <c r="L63" s="582"/>
    </row>
    <row r="64" spans="1:12" s="433" customFormat="1" ht="30" customHeight="1">
      <c r="A64" s="582" t="str">
        <f>"   4) 년차수당 : "&amp;FIXED(E50,0)&amp;"(통상일급) × 15일/년 ÷ 12개월"</f>
        <v xml:space="preserve">   4) 년차수당 : 161,920(통상일급) × 15일/년 ÷ 12개월</v>
      </c>
      <c r="B64" s="25"/>
      <c r="C64" s="25"/>
      <c r="D64" s="25"/>
      <c r="E64" s="583"/>
      <c r="F64" s="583"/>
      <c r="G64" s="583"/>
      <c r="H64" s="583"/>
      <c r="I64" s="584"/>
      <c r="J64" s="584"/>
      <c r="K64" s="580"/>
      <c r="L64" s="582"/>
    </row>
    <row r="65" spans="1:14" s="433" customFormat="1" ht="30" customHeight="1">
      <c r="A65" s="69" t="str">
        <f>"   5) 연장근로수당 : "&amp;FIXED(E50,0)&amp;"(통상일급) × "&amp;I54&amp;"일(연장근로일수) × 150%"</f>
        <v xml:space="preserve">   5) 연장근로수당 : 161,920(통상일급) × 일(연장근로일수) × 150%</v>
      </c>
      <c r="B65" s="25"/>
      <c r="C65" s="25"/>
      <c r="D65" s="25"/>
      <c r="E65" s="583"/>
      <c r="F65" s="583"/>
      <c r="G65" s="583"/>
      <c r="H65" s="583"/>
      <c r="I65" s="584"/>
      <c r="J65" s="584"/>
      <c r="K65" s="580"/>
      <c r="L65" s="582"/>
    </row>
    <row r="66" spans="1:14" ht="30" customHeight="1">
      <c r="A66" s="69" t="str">
        <f>"   6) 휴일근로수당 : "&amp;FIXED(E50,0)&amp;"(통상일급) × "&amp;I55&amp;"일(휴일근로일수) × 150%"</f>
        <v xml:space="preserve">   6) 휴일근로수당 : 161,920(통상일급) × 1.8일(휴일근로일수) × 150%</v>
      </c>
      <c r="G66" s="58"/>
      <c r="H66" s="58"/>
      <c r="I66" s="12"/>
      <c r="J66" s="69"/>
      <c r="K66" s="12"/>
    </row>
    <row r="67" spans="1:14" ht="30" customHeight="1">
      <c r="A67" s="582" t="str">
        <f>"   7) 상여금 : "&amp;FIXED(E52,0)&amp;"(기본급) × "&amp;$I$5&amp;"개월(년 "&amp;$I$5*100&amp;"% 적용) ÷ 12개월"</f>
        <v xml:space="preserve">   7) 상여금 : 2,641,455(기본급) × 4개월(년 400% 적용) ÷ 12개월</v>
      </c>
      <c r="G67" s="58"/>
      <c r="H67" s="58"/>
    </row>
    <row r="68" spans="1:14" ht="30" customHeight="1">
      <c r="A68" s="582" t="str">
        <f>"   8) 퇴직급여충당금 : {"&amp;FIXED(E52,0)&amp;"(기본급)+"&amp;FIXED(E56,0)&amp;"(제수당)+"&amp;FIXED(E57,0)&amp;"(상여금)} ÷ 12개월"</f>
        <v xml:space="preserve">   8) 퇴직급여충당금 : {2,641,455(기본급)+639,584(제수당)+880,485(상여금)} ÷ 12개월</v>
      </c>
      <c r="B68" s="585"/>
      <c r="C68" s="585"/>
      <c r="D68" s="585"/>
      <c r="E68" s="585"/>
      <c r="F68" s="585"/>
      <c r="G68" s="585"/>
      <c r="H68" s="585"/>
    </row>
    <row r="69" spans="1:14" ht="30" customHeight="1">
      <c r="A69" s="3"/>
      <c r="B69" s="3"/>
      <c r="C69" s="3"/>
      <c r="D69" s="3"/>
    </row>
    <row r="70" spans="1:14" ht="20.100000000000001" customHeight="1">
      <c r="A70" s="569" t="str">
        <f>"구분 : "&amp;월기본급!$A$12&amp;"        직책 : "&amp;월기본급!$B$12&amp;"        직종명 : "&amp;월기본급!$D$12&amp;""</f>
        <v>구분 : 운영팀        직책 : 기계팀장        직종명 : 중급기술자</v>
      </c>
      <c r="B70" s="69"/>
      <c r="C70" s="69"/>
      <c r="D70" s="69"/>
      <c r="E70" s="69"/>
      <c r="F70" s="432"/>
      <c r="G70" s="432"/>
      <c r="H70" s="422" t="s">
        <v>168</v>
      </c>
      <c r="I70" s="586">
        <f>월기본급!$H$11</f>
        <v>20.6</v>
      </c>
      <c r="J70" s="566" t="s">
        <v>212</v>
      </c>
      <c r="K70" s="587"/>
      <c r="L70" s="573"/>
      <c r="M70" s="573"/>
      <c r="N70" s="573"/>
    </row>
    <row r="71" spans="1:14" ht="39.950000000000003" customHeight="1">
      <c r="A71" s="1360" t="s">
        <v>113</v>
      </c>
      <c r="B71" s="1361"/>
      <c r="C71" s="1361"/>
      <c r="D71" s="1362"/>
      <c r="E71" s="1363" t="s">
        <v>155</v>
      </c>
      <c r="F71" s="1364"/>
      <c r="G71" s="423" t="s">
        <v>141</v>
      </c>
      <c r="H71" s="575" t="s">
        <v>154</v>
      </c>
      <c r="K71" s="588"/>
    </row>
    <row r="72" spans="1:14" ht="30" customHeight="1">
      <c r="A72" s="1365" t="s">
        <v>318</v>
      </c>
      <c r="B72" s="1366"/>
      <c r="C72" s="1366"/>
      <c r="D72" s="1367"/>
      <c r="E72" s="442">
        <f>TRUNC(E73*8,0)</f>
        <v>161920</v>
      </c>
      <c r="F72" s="428"/>
      <c r="G72" s="520"/>
      <c r="H72" s="276" t="s">
        <v>140</v>
      </c>
    </row>
    <row r="73" spans="1:14" ht="30" customHeight="1">
      <c r="A73" s="1365" t="s">
        <v>319</v>
      </c>
      <c r="B73" s="1366"/>
      <c r="C73" s="1366"/>
      <c r="D73" s="1367"/>
      <c r="E73" s="442">
        <f>TRUNC(월기본급!$G$12+(E79/209),0)</f>
        <v>20240</v>
      </c>
      <c r="F73" s="428"/>
      <c r="G73" s="520"/>
      <c r="H73" s="276" t="s">
        <v>137</v>
      </c>
    </row>
    <row r="74" spans="1:14" ht="30" customHeight="1">
      <c r="A74" s="1365" t="s">
        <v>320</v>
      </c>
      <c r="B74" s="1366"/>
      <c r="C74" s="1366"/>
      <c r="D74" s="1367"/>
      <c r="E74" s="442">
        <f>월기본급!$I$12</f>
        <v>2641455</v>
      </c>
      <c r="F74" s="428"/>
      <c r="G74" s="520" t="str">
        <f>월기본급!$A$1&amp;" 참조"</f>
        <v>[ 표 : 8 ]  참조</v>
      </c>
      <c r="H74" s="276" t="s">
        <v>138</v>
      </c>
    </row>
    <row r="75" spans="1:14" ht="30" customHeight="1">
      <c r="A75" s="1356" t="s">
        <v>255</v>
      </c>
      <c r="B75" s="368"/>
      <c r="C75" s="425" t="s">
        <v>114</v>
      </c>
      <c r="D75" s="369"/>
      <c r="E75" s="442">
        <f>TRUNC(E72*15/12,0)</f>
        <v>202400</v>
      </c>
      <c r="F75" s="428"/>
      <c r="G75" s="520" t="s">
        <v>250</v>
      </c>
      <c r="H75" s="276" t="s">
        <v>139</v>
      </c>
    </row>
    <row r="76" spans="1:14" ht="30" customHeight="1">
      <c r="A76" s="1368"/>
      <c r="B76" s="368"/>
      <c r="C76" s="425" t="s">
        <v>251</v>
      </c>
      <c r="D76" s="369"/>
      <c r="E76" s="442">
        <f>TRUNC(E72*I76*150%)</f>
        <v>0</v>
      </c>
      <c r="F76" s="428"/>
      <c r="G76" s="520" t="s">
        <v>252</v>
      </c>
      <c r="H76" s="276" t="s">
        <v>214</v>
      </c>
      <c r="J76" s="566" t="s">
        <v>323</v>
      </c>
      <c r="L76" s="62"/>
    </row>
    <row r="77" spans="1:14" ht="30" customHeight="1">
      <c r="A77" s="1368"/>
      <c r="B77" s="368"/>
      <c r="C77" s="425" t="s">
        <v>315</v>
      </c>
      <c r="D77" s="369"/>
      <c r="E77" s="442">
        <f>TRUNC(E72*I77*150%)</f>
        <v>437184</v>
      </c>
      <c r="F77" s="428"/>
      <c r="G77" s="520" t="s">
        <v>252</v>
      </c>
      <c r="H77" s="276" t="s">
        <v>247</v>
      </c>
      <c r="I77" s="565">
        <f>$K$5</f>
        <v>1.8</v>
      </c>
      <c r="J77" s="566" t="s">
        <v>324</v>
      </c>
      <c r="L77" s="62"/>
    </row>
    <row r="78" spans="1:14" ht="30" customHeight="1">
      <c r="A78" s="1357"/>
      <c r="B78" s="368"/>
      <c r="C78" s="425" t="s">
        <v>115</v>
      </c>
      <c r="D78" s="369"/>
      <c r="E78" s="442">
        <f>SUM(E75:E77)</f>
        <v>639584</v>
      </c>
      <c r="F78" s="428"/>
      <c r="G78" s="577"/>
      <c r="H78" s="276"/>
    </row>
    <row r="79" spans="1:14" ht="30" customHeight="1">
      <c r="A79" s="1365" t="s">
        <v>321</v>
      </c>
      <c r="B79" s="1366"/>
      <c r="C79" s="1366"/>
      <c r="D79" s="1367"/>
      <c r="E79" s="442">
        <f>TRUNC(E74*$I$5/12,0)</f>
        <v>880485</v>
      </c>
      <c r="F79" s="428"/>
      <c r="G79" s="578"/>
      <c r="H79" s="276" t="s">
        <v>254</v>
      </c>
    </row>
    <row r="80" spans="1:14" ht="30" customHeight="1">
      <c r="A80" s="1365" t="s">
        <v>322</v>
      </c>
      <c r="B80" s="1366"/>
      <c r="C80" s="1366"/>
      <c r="D80" s="1367"/>
      <c r="E80" s="442">
        <f>TRUNC(SUM(E74,E78,E79)/12,0)</f>
        <v>346793</v>
      </c>
      <c r="F80" s="428"/>
      <c r="G80" s="578" t="s">
        <v>209</v>
      </c>
      <c r="H80" s="276" t="s">
        <v>267</v>
      </c>
    </row>
    <row r="81" spans="1:14" ht="30" customHeight="1">
      <c r="A81" s="1360" t="s">
        <v>116</v>
      </c>
      <c r="B81" s="1361"/>
      <c r="C81" s="1361"/>
      <c r="D81" s="1362"/>
      <c r="E81" s="442">
        <f>SUM(E74,E78,E79,E80)</f>
        <v>4508317</v>
      </c>
      <c r="F81" s="428"/>
      <c r="G81" s="442"/>
      <c r="H81" s="22"/>
    </row>
    <row r="82" spans="1:14" s="433" customFormat="1" ht="30" customHeight="1">
      <c r="A82" s="25" t="str">
        <f>"주 1) 통상일급 : 통상시간급 × 8시간"</f>
        <v>주 1) 통상일급 : 통상시간급 × 8시간</v>
      </c>
      <c r="B82" s="25"/>
      <c r="C82" s="25"/>
      <c r="D82" s="25"/>
      <c r="E82" s="431"/>
      <c r="F82" s="431"/>
      <c r="G82" s="431"/>
      <c r="H82" s="431"/>
      <c r="I82" s="580"/>
      <c r="J82" s="581"/>
      <c r="K82" s="580"/>
    </row>
    <row r="83" spans="1:14" s="433" customFormat="1" ht="30" customHeight="1">
      <c r="A83" s="25" t="s">
        <v>326</v>
      </c>
      <c r="E83" s="432"/>
      <c r="F83" s="432"/>
      <c r="G83" s="277"/>
      <c r="H83" s="277"/>
      <c r="I83" s="580"/>
      <c r="J83" s="581"/>
      <c r="K83" s="580"/>
    </row>
    <row r="84" spans="1:14" ht="29.1" customHeight="1">
      <c r="A84" s="579" t="s">
        <v>746</v>
      </c>
      <c r="B84" s="12"/>
      <c r="C84" s="12"/>
      <c r="D84" s="12"/>
      <c r="G84" s="58"/>
      <c r="H84" s="58"/>
    </row>
    <row r="85" spans="1:14" s="433" customFormat="1" ht="30" customHeight="1">
      <c r="A85" s="25" t="str">
        <f>"   3) 기본급 : "&amp;월기본급!$A$1&amp;월기본급!$A$2&amp;" 참조"</f>
        <v xml:space="preserve">   3) 기본급 : [ 표 : 8 ] 월(M/M)당기본급산출표 참조</v>
      </c>
      <c r="B85" s="25"/>
      <c r="C85" s="25"/>
      <c r="D85" s="25"/>
      <c r="E85" s="583"/>
      <c r="F85" s="583"/>
      <c r="G85" s="583"/>
      <c r="H85" s="583"/>
      <c r="I85" s="584"/>
      <c r="J85" s="584"/>
      <c r="K85" s="580"/>
      <c r="L85" s="582"/>
    </row>
    <row r="86" spans="1:14" s="433" customFormat="1" ht="30" customHeight="1">
      <c r="A86" s="582" t="str">
        <f>"   4) 년차수당 : "&amp;FIXED(E72,0)&amp;"(통상일급) × 15일/년 ÷ 12개월"</f>
        <v xml:space="preserve">   4) 년차수당 : 161,920(통상일급) × 15일/년 ÷ 12개월</v>
      </c>
      <c r="B86" s="25"/>
      <c r="C86" s="25"/>
      <c r="D86" s="25"/>
      <c r="E86" s="583"/>
      <c r="F86" s="583"/>
      <c r="G86" s="583"/>
      <c r="H86" s="583"/>
      <c r="I86" s="584"/>
      <c r="J86" s="584"/>
      <c r="K86" s="580"/>
      <c r="L86" s="582"/>
    </row>
    <row r="87" spans="1:14" s="433" customFormat="1" ht="30" customHeight="1">
      <c r="A87" s="69" t="str">
        <f>"   5) 연장근로수당 : "&amp;FIXED(E72,0)&amp;"(통상일급) × "&amp;I76&amp;"일(연장근로일수) × 150%"</f>
        <v xml:space="preserve">   5) 연장근로수당 : 161,920(통상일급) × 일(연장근로일수) × 150%</v>
      </c>
      <c r="B87" s="25"/>
      <c r="C87" s="25"/>
      <c r="D87" s="25"/>
      <c r="E87" s="583"/>
      <c r="F87" s="583"/>
      <c r="G87" s="583"/>
      <c r="H87" s="583"/>
      <c r="I87" s="584"/>
      <c r="J87" s="584"/>
      <c r="K87" s="580"/>
      <c r="L87" s="582"/>
    </row>
    <row r="88" spans="1:14" s="433" customFormat="1" ht="30" customHeight="1">
      <c r="A88" s="69" t="str">
        <f>"   6) 휴일근로수당 : "&amp;FIXED(E72,0)&amp;"(통상일급) × "&amp;I77&amp;"일(휴일근로일수) × 150%"</f>
        <v xml:space="preserve">   6) 휴일근로수당 : 161,920(통상일급) × 1.8일(휴일근로일수) × 150%</v>
      </c>
      <c r="B88" s="25"/>
      <c r="C88" s="25"/>
      <c r="D88" s="25"/>
      <c r="E88" s="583"/>
      <c r="F88" s="583"/>
      <c r="G88" s="583"/>
      <c r="H88" s="583"/>
      <c r="I88" s="584"/>
      <c r="J88" s="584"/>
      <c r="K88" s="580"/>
      <c r="L88" s="582"/>
    </row>
    <row r="89" spans="1:14" ht="30" customHeight="1">
      <c r="A89" s="582" t="str">
        <f>"   7) 상여금 : "&amp;FIXED(E74,0)&amp;"(기본급) × "&amp;$I$5&amp;"개월(년 "&amp;$I$5*100&amp;"% 적용) ÷ 12개월"</f>
        <v xml:space="preserve">   7) 상여금 : 2,641,455(기본급) × 4개월(년 400% 적용) ÷ 12개월</v>
      </c>
      <c r="G89" s="58"/>
      <c r="H89" s="58"/>
      <c r="I89" s="12"/>
      <c r="J89" s="69"/>
      <c r="K89" s="12"/>
    </row>
    <row r="90" spans="1:14" ht="30" customHeight="1">
      <c r="A90" s="582" t="str">
        <f>"   8) 퇴직급여충당금 : {"&amp;FIXED(E74,0)&amp;"(기본급)+"&amp;FIXED(E78,0)&amp;"(제수당)+"&amp;FIXED(E79,0)&amp;"(상여금)} ÷ 12개월"</f>
        <v xml:space="preserve">   8) 퇴직급여충당금 : {2,641,455(기본급)+639,584(제수당)+880,485(상여금)} ÷ 12개월</v>
      </c>
      <c r="G90" s="58"/>
      <c r="H90" s="58"/>
    </row>
    <row r="91" spans="1:14" ht="30" customHeight="1">
      <c r="A91" s="582"/>
      <c r="B91" s="585"/>
      <c r="C91" s="585"/>
      <c r="D91" s="585"/>
      <c r="E91" s="585"/>
      <c r="F91" s="585"/>
      <c r="G91" s="585"/>
      <c r="H91" s="585"/>
    </row>
    <row r="92" spans="1:14" ht="24" customHeight="1">
      <c r="A92" s="569" t="str">
        <f>"구분:"&amp;월기본급!$A$13&amp;"   직책:"&amp;월기본급!$B$13&amp;"   직종명:"&amp;월기본급!$D$13&amp;""</f>
        <v>구분:운영팀   직책:전기담당   직종명:초급기술자</v>
      </c>
      <c r="B92" s="69"/>
      <c r="C92" s="69"/>
      <c r="D92" s="69"/>
      <c r="E92" s="69"/>
      <c r="F92" s="432"/>
      <c r="G92" s="432"/>
      <c r="H92" s="422" t="s">
        <v>168</v>
      </c>
      <c r="I92" s="586">
        <f>월기본급!$H$12</f>
        <v>20.6</v>
      </c>
      <c r="J92" s="566" t="s">
        <v>212</v>
      </c>
      <c r="K92" s="587"/>
      <c r="L92" s="573"/>
      <c r="M92" s="573"/>
      <c r="N92" s="573"/>
    </row>
    <row r="93" spans="1:14" ht="39.950000000000003" customHeight="1">
      <c r="A93" s="1360" t="s">
        <v>113</v>
      </c>
      <c r="B93" s="1361"/>
      <c r="C93" s="1361"/>
      <c r="D93" s="1362"/>
      <c r="E93" s="1363" t="s">
        <v>155</v>
      </c>
      <c r="F93" s="1364"/>
      <c r="G93" s="423" t="s">
        <v>141</v>
      </c>
      <c r="H93" s="575" t="s">
        <v>154</v>
      </c>
      <c r="K93" s="588"/>
    </row>
    <row r="94" spans="1:14" ht="30" customHeight="1">
      <c r="A94" s="1365" t="s">
        <v>318</v>
      </c>
      <c r="B94" s="1366"/>
      <c r="C94" s="1366"/>
      <c r="D94" s="1367"/>
      <c r="E94" s="442">
        <f>TRUNC(E95*8,0)</f>
        <v>142648</v>
      </c>
      <c r="F94" s="428"/>
      <c r="G94" s="520"/>
      <c r="H94" s="276" t="s">
        <v>140</v>
      </c>
    </row>
    <row r="95" spans="1:14" ht="30" customHeight="1">
      <c r="A95" s="1365" t="s">
        <v>319</v>
      </c>
      <c r="B95" s="1366"/>
      <c r="C95" s="1366"/>
      <c r="D95" s="1367"/>
      <c r="E95" s="442">
        <f>TRUNC(월기본급!$G$13+(E101/209),0)</f>
        <v>17831</v>
      </c>
      <c r="F95" s="428"/>
      <c r="G95" s="520"/>
      <c r="H95" s="276" t="s">
        <v>137</v>
      </c>
    </row>
    <row r="96" spans="1:14" ht="30" customHeight="1">
      <c r="A96" s="1365" t="s">
        <v>320</v>
      </c>
      <c r="B96" s="1366"/>
      <c r="C96" s="1366"/>
      <c r="D96" s="1367"/>
      <c r="E96" s="442">
        <f>월기본급!$I$13</f>
        <v>2327017</v>
      </c>
      <c r="F96" s="428"/>
      <c r="G96" s="520" t="str">
        <f>월기본급!$A$1&amp;" 참조"</f>
        <v>[ 표 : 8 ]  참조</v>
      </c>
      <c r="H96" s="276" t="s">
        <v>138</v>
      </c>
    </row>
    <row r="97" spans="1:12" ht="30" customHeight="1">
      <c r="A97" s="1356" t="s">
        <v>255</v>
      </c>
      <c r="B97" s="368"/>
      <c r="C97" s="425" t="s">
        <v>114</v>
      </c>
      <c r="D97" s="369"/>
      <c r="E97" s="442">
        <f>TRUNC(E94*15/12,0)</f>
        <v>178310</v>
      </c>
      <c r="F97" s="428"/>
      <c r="G97" s="520" t="s">
        <v>249</v>
      </c>
      <c r="H97" s="276" t="s">
        <v>139</v>
      </c>
    </row>
    <row r="98" spans="1:12" ht="30" customHeight="1">
      <c r="A98" s="1368"/>
      <c r="B98" s="368"/>
      <c r="C98" s="425" t="s">
        <v>251</v>
      </c>
      <c r="D98" s="369"/>
      <c r="E98" s="442">
        <f>TRUNC(E94*I98*150%)</f>
        <v>0</v>
      </c>
      <c r="F98" s="428"/>
      <c r="G98" s="520" t="s">
        <v>252</v>
      </c>
      <c r="H98" s="276" t="s">
        <v>214</v>
      </c>
      <c r="J98" s="566" t="s">
        <v>323</v>
      </c>
      <c r="L98" s="62"/>
    </row>
    <row r="99" spans="1:12" ht="30" customHeight="1">
      <c r="A99" s="1368"/>
      <c r="B99" s="368"/>
      <c r="C99" s="425" t="s">
        <v>315</v>
      </c>
      <c r="D99" s="369"/>
      <c r="E99" s="442">
        <f>TRUNC(E94*I99*150%)</f>
        <v>385149</v>
      </c>
      <c r="F99" s="428"/>
      <c r="G99" s="520" t="s">
        <v>252</v>
      </c>
      <c r="H99" s="276" t="s">
        <v>247</v>
      </c>
      <c r="I99" s="565">
        <f>$K$5</f>
        <v>1.8</v>
      </c>
      <c r="J99" s="566" t="s">
        <v>324</v>
      </c>
      <c r="L99" s="62"/>
    </row>
    <row r="100" spans="1:12" ht="30" customHeight="1">
      <c r="A100" s="1357"/>
      <c r="B100" s="368"/>
      <c r="C100" s="425" t="s">
        <v>115</v>
      </c>
      <c r="D100" s="369"/>
      <c r="E100" s="442">
        <f>SUM(E97:E99)</f>
        <v>563459</v>
      </c>
      <c r="F100" s="428"/>
      <c r="G100" s="577"/>
      <c r="H100" s="276"/>
    </row>
    <row r="101" spans="1:12" ht="30" customHeight="1">
      <c r="A101" s="1365" t="s">
        <v>321</v>
      </c>
      <c r="B101" s="1366"/>
      <c r="C101" s="1366"/>
      <c r="D101" s="1367"/>
      <c r="E101" s="442">
        <f>TRUNC(E96*$I$5/12,0)</f>
        <v>775672</v>
      </c>
      <c r="F101" s="428"/>
      <c r="G101" s="578"/>
      <c r="H101" s="276" t="s">
        <v>254</v>
      </c>
    </row>
    <row r="102" spans="1:12" ht="30" customHeight="1">
      <c r="A102" s="1365" t="s">
        <v>322</v>
      </c>
      <c r="B102" s="1366"/>
      <c r="C102" s="1366"/>
      <c r="D102" s="1367"/>
      <c r="E102" s="442">
        <f>TRUNC(SUM(E96,E100,E101)/12,0)</f>
        <v>305512</v>
      </c>
      <c r="F102" s="428"/>
      <c r="G102" s="578" t="s">
        <v>209</v>
      </c>
      <c r="H102" s="276" t="s">
        <v>267</v>
      </c>
    </row>
    <row r="103" spans="1:12" ht="30" customHeight="1">
      <c r="A103" s="1360" t="s">
        <v>116</v>
      </c>
      <c r="B103" s="1361"/>
      <c r="C103" s="1361"/>
      <c r="D103" s="1362"/>
      <c r="E103" s="442">
        <f>SUM(E96,E100,E101,E102)</f>
        <v>3971660</v>
      </c>
      <c r="F103" s="428"/>
      <c r="G103" s="442"/>
      <c r="H103" s="22"/>
    </row>
    <row r="104" spans="1:12" s="433" customFormat="1" ht="30" customHeight="1">
      <c r="A104" s="25" t="str">
        <f>"주 1) 통상일급 : 통상시간급 × 8시간"</f>
        <v>주 1) 통상일급 : 통상시간급 × 8시간</v>
      </c>
      <c r="B104" s="25"/>
      <c r="C104" s="25"/>
      <c r="D104" s="25"/>
      <c r="E104" s="431"/>
      <c r="F104" s="431"/>
      <c r="G104" s="431"/>
      <c r="H104" s="431"/>
      <c r="I104" s="580"/>
      <c r="J104" s="581"/>
      <c r="K104" s="580"/>
    </row>
    <row r="105" spans="1:12" s="433" customFormat="1" ht="30" customHeight="1">
      <c r="A105" s="25" t="s">
        <v>326</v>
      </c>
      <c r="E105" s="432"/>
      <c r="F105" s="432"/>
      <c r="G105" s="277"/>
      <c r="H105" s="277"/>
      <c r="I105" s="580"/>
      <c r="J105" s="581"/>
      <c r="K105" s="580"/>
    </row>
    <row r="106" spans="1:12" ht="29.1" customHeight="1">
      <c r="A106" s="579" t="s">
        <v>746</v>
      </c>
      <c r="B106" s="12"/>
      <c r="C106" s="12"/>
      <c r="D106" s="12"/>
      <c r="G106" s="58"/>
      <c r="H106" s="58"/>
    </row>
    <row r="107" spans="1:12" s="433" customFormat="1" ht="30" customHeight="1">
      <c r="A107" s="25" t="str">
        <f>"   3) 기본급 : "&amp;월기본급!$A$1&amp;월기본급!$A$2&amp;" 참조"</f>
        <v xml:space="preserve">   3) 기본급 : [ 표 : 8 ] 월(M/M)당기본급산출표 참조</v>
      </c>
      <c r="B107" s="25"/>
      <c r="C107" s="25"/>
      <c r="D107" s="25"/>
      <c r="E107" s="583"/>
      <c r="F107" s="583"/>
      <c r="G107" s="583"/>
      <c r="H107" s="583"/>
      <c r="I107" s="584"/>
      <c r="J107" s="584"/>
      <c r="K107" s="580"/>
      <c r="L107" s="582"/>
    </row>
    <row r="108" spans="1:12" s="433" customFormat="1" ht="30" customHeight="1">
      <c r="A108" s="582" t="str">
        <f>"   4) 년차수당 : "&amp;FIXED(E94,0)&amp;"(통상일급) × 15일/년 ÷ 12개월"</f>
        <v xml:space="preserve">   4) 년차수당 : 142,648(통상일급) × 15일/년 ÷ 12개월</v>
      </c>
      <c r="B108" s="25"/>
      <c r="C108" s="25"/>
      <c r="D108" s="25"/>
      <c r="E108" s="583"/>
      <c r="F108" s="583"/>
      <c r="G108" s="583"/>
      <c r="H108" s="583"/>
      <c r="I108" s="584"/>
      <c r="J108" s="584"/>
      <c r="K108" s="580"/>
      <c r="L108" s="582"/>
    </row>
    <row r="109" spans="1:12" s="433" customFormat="1" ht="30" customHeight="1">
      <c r="A109" s="69" t="str">
        <f>"   5) 연장근로수당 : "&amp;FIXED(E94,0)&amp;"(통상일급) × "&amp;I98&amp;"일(연장근로일수) × 150%"</f>
        <v xml:space="preserve">   5) 연장근로수당 : 142,648(통상일급) × 일(연장근로일수) × 150%</v>
      </c>
      <c r="B109" s="25"/>
      <c r="C109" s="25"/>
      <c r="D109" s="25"/>
      <c r="E109" s="583"/>
      <c r="F109" s="583"/>
      <c r="G109" s="583"/>
      <c r="H109" s="583"/>
      <c r="I109" s="584"/>
      <c r="J109" s="584"/>
      <c r="K109" s="580"/>
      <c r="L109" s="582"/>
    </row>
    <row r="110" spans="1:12" ht="30" customHeight="1">
      <c r="A110" s="69" t="str">
        <f>"   6) 휴일근로수당 : "&amp;FIXED(E94,0)&amp;"(통상일급) × "&amp;I99&amp;"일(휴일근로일수) × 150%"</f>
        <v xml:space="preserve">   6) 휴일근로수당 : 142,648(통상일급) × 1.8일(휴일근로일수) × 150%</v>
      </c>
      <c r="G110" s="58"/>
      <c r="H110" s="58"/>
      <c r="I110" s="12"/>
      <c r="J110" s="69"/>
      <c r="K110" s="12"/>
    </row>
    <row r="111" spans="1:12" ht="30" customHeight="1">
      <c r="A111" s="582" t="str">
        <f>"   7) 상여금 : "&amp;FIXED(E96,0)&amp;"(기본급) × "&amp;$I$5&amp;"개월(년 "&amp;$I$5*100&amp;"% 적용) ÷ 12개월"</f>
        <v xml:space="preserve">   7) 상여금 : 2,327,017(기본급) × 4개월(년 400% 적용) ÷ 12개월</v>
      </c>
      <c r="G111" s="58"/>
      <c r="H111" s="58"/>
    </row>
    <row r="112" spans="1:12" ht="30" customHeight="1">
      <c r="A112" s="582" t="str">
        <f>"   8) 퇴직급여충당금 : {"&amp;FIXED(E96,0)&amp;"(기본급)+"&amp;FIXED(E100,0)&amp;"(제수당)+"&amp;FIXED(E101,0)&amp;"(상여금)} ÷ 12개월"</f>
        <v xml:space="preserve">   8) 퇴직급여충당금 : {2,327,017(기본급)+563,459(제수당)+775,672(상여금)} ÷ 12개월</v>
      </c>
      <c r="B112" s="585"/>
      <c r="C112" s="585"/>
      <c r="D112" s="585"/>
      <c r="E112" s="585"/>
      <c r="F112" s="585"/>
      <c r="G112" s="585"/>
      <c r="H112" s="585"/>
    </row>
    <row r="113" spans="1:14" ht="30" customHeight="1">
      <c r="A113" s="3"/>
      <c r="B113" s="3"/>
      <c r="C113" s="3"/>
      <c r="D113" s="3"/>
    </row>
    <row r="114" spans="1:14" ht="20.100000000000001" customHeight="1">
      <c r="A114" s="569" t="str">
        <f>"구분:"&amp;월기본급!$A$14&amp;"     직책:"&amp;월기본급!$B$14&amp;"    직종명:"&amp;월기본급!$D$14&amp;""</f>
        <v>구분:운영팀     직책:기계담당    직종명:초급기술자</v>
      </c>
      <c r="B114" s="69"/>
      <c r="C114" s="69"/>
      <c r="D114" s="69"/>
      <c r="E114" s="69"/>
      <c r="F114" s="432"/>
      <c r="G114" s="432"/>
      <c r="H114" s="422" t="s">
        <v>168</v>
      </c>
      <c r="I114" s="586">
        <f>월기본급!$H$13</f>
        <v>20.6</v>
      </c>
      <c r="J114" s="566" t="s">
        <v>212</v>
      </c>
      <c r="K114" s="587"/>
      <c r="L114" s="573"/>
      <c r="M114" s="573"/>
      <c r="N114" s="573"/>
    </row>
    <row r="115" spans="1:14" ht="39.950000000000003" customHeight="1">
      <c r="A115" s="1360" t="s">
        <v>113</v>
      </c>
      <c r="B115" s="1361"/>
      <c r="C115" s="1361"/>
      <c r="D115" s="1362"/>
      <c r="E115" s="1363" t="s">
        <v>155</v>
      </c>
      <c r="F115" s="1364"/>
      <c r="G115" s="423" t="s">
        <v>141</v>
      </c>
      <c r="H115" s="575" t="s">
        <v>154</v>
      </c>
      <c r="K115" s="588"/>
    </row>
    <row r="116" spans="1:14" ht="30" customHeight="1">
      <c r="A116" s="1365" t="s">
        <v>318</v>
      </c>
      <c r="B116" s="1366"/>
      <c r="C116" s="1366"/>
      <c r="D116" s="1367"/>
      <c r="E116" s="442">
        <f>TRUNC(E117*8,0)</f>
        <v>142648</v>
      </c>
      <c r="F116" s="428"/>
      <c r="G116" s="520"/>
      <c r="H116" s="276" t="s">
        <v>140</v>
      </c>
    </row>
    <row r="117" spans="1:14" ht="30" customHeight="1">
      <c r="A117" s="1365" t="s">
        <v>319</v>
      </c>
      <c r="B117" s="1366"/>
      <c r="C117" s="1366"/>
      <c r="D117" s="1367"/>
      <c r="E117" s="442">
        <f>TRUNC(월기본급!$G$14+(E123/209),0)</f>
        <v>17831</v>
      </c>
      <c r="F117" s="428"/>
      <c r="G117" s="520"/>
      <c r="H117" s="276" t="s">
        <v>137</v>
      </c>
    </row>
    <row r="118" spans="1:14" ht="30" customHeight="1">
      <c r="A118" s="1365" t="s">
        <v>320</v>
      </c>
      <c r="B118" s="1366"/>
      <c r="C118" s="1366"/>
      <c r="D118" s="1367"/>
      <c r="E118" s="442">
        <f>월기본급!$I$14</f>
        <v>2327017</v>
      </c>
      <c r="F118" s="428"/>
      <c r="G118" s="520" t="str">
        <f>월기본급!$A$1&amp;" 참조"</f>
        <v>[ 표 : 8 ]  참조</v>
      </c>
      <c r="H118" s="276" t="s">
        <v>138</v>
      </c>
    </row>
    <row r="119" spans="1:14" ht="30" customHeight="1">
      <c r="A119" s="1356" t="s">
        <v>255</v>
      </c>
      <c r="B119" s="368"/>
      <c r="C119" s="425" t="s">
        <v>114</v>
      </c>
      <c r="D119" s="369"/>
      <c r="E119" s="442">
        <f>TRUNC(E116*15/12,0)</f>
        <v>178310</v>
      </c>
      <c r="F119" s="428"/>
      <c r="G119" s="520" t="s">
        <v>249</v>
      </c>
      <c r="H119" s="276" t="s">
        <v>139</v>
      </c>
    </row>
    <row r="120" spans="1:14" ht="30" customHeight="1">
      <c r="A120" s="1368"/>
      <c r="B120" s="368"/>
      <c r="C120" s="425" t="s">
        <v>251</v>
      </c>
      <c r="D120" s="369"/>
      <c r="E120" s="442">
        <f>TRUNC(E116*I120*150%)</f>
        <v>0</v>
      </c>
      <c r="F120" s="428"/>
      <c r="G120" s="520" t="s">
        <v>252</v>
      </c>
      <c r="H120" s="276" t="s">
        <v>214</v>
      </c>
      <c r="J120" s="566" t="s">
        <v>323</v>
      </c>
      <c r="L120" s="62"/>
    </row>
    <row r="121" spans="1:14" ht="30" customHeight="1">
      <c r="A121" s="1368"/>
      <c r="B121" s="368"/>
      <c r="C121" s="425" t="s">
        <v>315</v>
      </c>
      <c r="D121" s="369"/>
      <c r="E121" s="442">
        <f>TRUNC(E116*I121*150%)</f>
        <v>385149</v>
      </c>
      <c r="F121" s="428"/>
      <c r="G121" s="520" t="s">
        <v>252</v>
      </c>
      <c r="H121" s="276" t="s">
        <v>247</v>
      </c>
      <c r="I121" s="565">
        <f>$K$5</f>
        <v>1.8</v>
      </c>
      <c r="J121" s="566" t="s">
        <v>324</v>
      </c>
      <c r="L121" s="62"/>
    </row>
    <row r="122" spans="1:14" ht="30" customHeight="1">
      <c r="A122" s="1357"/>
      <c r="B122" s="368"/>
      <c r="C122" s="425" t="s">
        <v>115</v>
      </c>
      <c r="D122" s="369"/>
      <c r="E122" s="442">
        <f>SUM(E119:E121)</f>
        <v>563459</v>
      </c>
      <c r="F122" s="428"/>
      <c r="G122" s="577"/>
      <c r="H122" s="276"/>
    </row>
    <row r="123" spans="1:14" ht="30" customHeight="1">
      <c r="A123" s="1365" t="s">
        <v>321</v>
      </c>
      <c r="B123" s="1366"/>
      <c r="C123" s="1366"/>
      <c r="D123" s="1367"/>
      <c r="E123" s="442">
        <f>TRUNC(E118*$I$5/12,0)</f>
        <v>775672</v>
      </c>
      <c r="F123" s="428"/>
      <c r="G123" s="578"/>
      <c r="H123" s="276" t="s">
        <v>254</v>
      </c>
    </row>
    <row r="124" spans="1:14" ht="30" customHeight="1">
      <c r="A124" s="1365" t="s">
        <v>322</v>
      </c>
      <c r="B124" s="1366"/>
      <c r="C124" s="1366"/>
      <c r="D124" s="1367"/>
      <c r="E124" s="442">
        <f>TRUNC(SUM(E118,E122,E123)/12,0)</f>
        <v>305512</v>
      </c>
      <c r="F124" s="428"/>
      <c r="G124" s="578" t="s">
        <v>209</v>
      </c>
      <c r="H124" s="276" t="s">
        <v>267</v>
      </c>
    </row>
    <row r="125" spans="1:14" ht="30" customHeight="1">
      <c r="A125" s="1360" t="s">
        <v>116</v>
      </c>
      <c r="B125" s="1361"/>
      <c r="C125" s="1361"/>
      <c r="D125" s="1362"/>
      <c r="E125" s="442">
        <f>SUM(E118,E122,E123,E124)</f>
        <v>3971660</v>
      </c>
      <c r="F125" s="428"/>
      <c r="G125" s="442"/>
      <c r="H125" s="22"/>
    </row>
    <row r="126" spans="1:14" s="433" customFormat="1" ht="30" customHeight="1">
      <c r="A126" s="25" t="str">
        <f>"주 1) 통상일급 : 통상시간급 × 8시간"</f>
        <v>주 1) 통상일급 : 통상시간급 × 8시간</v>
      </c>
      <c r="B126" s="25"/>
      <c r="C126" s="25"/>
      <c r="D126" s="25"/>
      <c r="E126" s="431"/>
      <c r="F126" s="431"/>
      <c r="G126" s="431"/>
      <c r="H126" s="431"/>
      <c r="I126" s="580"/>
      <c r="J126" s="581"/>
      <c r="K126" s="580"/>
    </row>
    <row r="127" spans="1:14" s="433" customFormat="1" ht="30" customHeight="1">
      <c r="A127" s="25" t="s">
        <v>326</v>
      </c>
      <c r="E127" s="432"/>
      <c r="F127" s="432"/>
      <c r="G127" s="277"/>
      <c r="H127" s="277"/>
      <c r="I127" s="580"/>
      <c r="J127" s="581"/>
      <c r="K127" s="580"/>
    </row>
    <row r="128" spans="1:14" ht="29.1" customHeight="1">
      <c r="A128" s="579" t="s">
        <v>746</v>
      </c>
      <c r="B128" s="12"/>
      <c r="C128" s="12"/>
      <c r="D128" s="12"/>
      <c r="G128" s="58"/>
      <c r="H128" s="58"/>
    </row>
    <row r="129" spans="1:14" s="433" customFormat="1" ht="30" customHeight="1">
      <c r="A129" s="25" t="str">
        <f>"   3) 기본급 : "&amp;월기본급!$A$1&amp;월기본급!$A$2&amp;" 참조"</f>
        <v xml:space="preserve">   3) 기본급 : [ 표 : 8 ] 월(M/M)당기본급산출표 참조</v>
      </c>
      <c r="B129" s="25"/>
      <c r="C129" s="25"/>
      <c r="D129" s="25"/>
      <c r="E129" s="583"/>
      <c r="F129" s="583"/>
      <c r="G129" s="583"/>
      <c r="H129" s="583"/>
      <c r="I129" s="584"/>
      <c r="J129" s="584"/>
      <c r="K129" s="580"/>
      <c r="L129" s="582"/>
    </row>
    <row r="130" spans="1:14" s="433" customFormat="1" ht="30" customHeight="1">
      <c r="A130" s="582" t="str">
        <f>"   4) 년차수당 : "&amp;FIXED(E116,0)&amp;"(통상일급) × 15일/년 ÷ 12개월"</f>
        <v xml:space="preserve">   4) 년차수당 : 142,648(통상일급) × 15일/년 ÷ 12개월</v>
      </c>
      <c r="B130" s="25"/>
      <c r="C130" s="25"/>
      <c r="D130" s="25"/>
      <c r="E130" s="583"/>
      <c r="F130" s="583"/>
      <c r="G130" s="583"/>
      <c r="H130" s="583"/>
      <c r="I130" s="584"/>
      <c r="J130" s="584"/>
      <c r="K130" s="580"/>
      <c r="L130" s="582"/>
    </row>
    <row r="131" spans="1:14" s="433" customFormat="1" ht="30" customHeight="1">
      <c r="A131" s="69" t="str">
        <f>"   5) 연장근로수당 : "&amp;FIXED(E116,0)&amp;"(통상일급) × "&amp;I120&amp;"일(연장근로일수) × 150%"</f>
        <v xml:space="preserve">   5) 연장근로수당 : 142,648(통상일급) × 일(연장근로일수) × 150%</v>
      </c>
      <c r="B131" s="25"/>
      <c r="C131" s="25"/>
      <c r="D131" s="25"/>
      <c r="E131" s="583"/>
      <c r="F131" s="583"/>
      <c r="G131" s="583"/>
      <c r="H131" s="583"/>
      <c r="I131" s="584"/>
      <c r="J131" s="584"/>
      <c r="K131" s="580"/>
      <c r="L131" s="582"/>
    </row>
    <row r="132" spans="1:14" ht="30" customHeight="1">
      <c r="A132" s="69" t="str">
        <f>"   6) 휴일근로수당 : "&amp;FIXED(E116,0)&amp;"(통상일급) × "&amp;I121&amp;"일(휴일근로일수) × 150%"</f>
        <v xml:space="preserve">   6) 휴일근로수당 : 142,648(통상일급) × 1.8일(휴일근로일수) × 150%</v>
      </c>
      <c r="G132" s="58"/>
      <c r="H132" s="58"/>
      <c r="I132" s="12"/>
      <c r="J132" s="69"/>
      <c r="K132" s="12"/>
    </row>
    <row r="133" spans="1:14" ht="30" customHeight="1">
      <c r="A133" s="582" t="str">
        <f>"   7) 상여금 : "&amp;FIXED(E118,0)&amp;"(기본급) × "&amp;$I$5&amp;"개월(년 "&amp;$I$5*100&amp;"% 적용) ÷ 12개월"</f>
        <v xml:space="preserve">   7) 상여금 : 2,327,017(기본급) × 4개월(년 400% 적용) ÷ 12개월</v>
      </c>
      <c r="G133" s="58"/>
      <c r="H133" s="58"/>
    </row>
    <row r="134" spans="1:14" ht="30" customHeight="1">
      <c r="A134" s="582" t="str">
        <f>"   8) 퇴직급여충당금 : {"&amp;FIXED(E118,0)&amp;"(기본급)+"&amp;FIXED(E122,0)&amp;"(제수당)+"&amp;FIXED(E123,0)&amp;"(상여금)} ÷ 12개월"</f>
        <v xml:space="preserve">   8) 퇴직급여충당금 : {2,327,017(기본급)+563,459(제수당)+775,672(상여금)} ÷ 12개월</v>
      </c>
      <c r="B134" s="585"/>
      <c r="C134" s="585"/>
      <c r="D134" s="585"/>
      <c r="E134" s="585"/>
      <c r="F134" s="585"/>
      <c r="G134" s="585"/>
      <c r="H134" s="585"/>
    </row>
    <row r="135" spans="1:14" ht="30" customHeight="1">
      <c r="A135" s="3"/>
      <c r="B135" s="3"/>
      <c r="C135" s="3"/>
      <c r="D135" s="3"/>
    </row>
    <row r="136" spans="1:14" ht="20.100000000000001" customHeight="1">
      <c r="A136" s="569" t="str">
        <f>"구분:"&amp;월기본급!$A$15&amp;"      직책:"&amp;월기본급!$B$15&amp;"      직종명:"&amp;월기본급!$D$15&amp;""</f>
        <v>구분:운영팀      직책:전기담당      직종명:고급숙련기술자</v>
      </c>
      <c r="B136" s="69"/>
      <c r="C136" s="69"/>
      <c r="D136" s="69"/>
      <c r="E136" s="69"/>
      <c r="F136" s="432"/>
      <c r="G136" s="432"/>
      <c r="H136" s="422" t="s">
        <v>168</v>
      </c>
      <c r="I136" s="586">
        <f>월기본급!$H$14</f>
        <v>20.6</v>
      </c>
      <c r="J136" s="566" t="s">
        <v>212</v>
      </c>
      <c r="K136" s="587"/>
      <c r="L136" s="573"/>
      <c r="M136" s="573"/>
      <c r="N136" s="573"/>
    </row>
    <row r="137" spans="1:14" ht="39.950000000000003" customHeight="1">
      <c r="A137" s="1360" t="s">
        <v>113</v>
      </c>
      <c r="B137" s="1361"/>
      <c r="C137" s="1361"/>
      <c r="D137" s="1362"/>
      <c r="E137" s="1363" t="s">
        <v>155</v>
      </c>
      <c r="F137" s="1364"/>
      <c r="G137" s="423" t="s">
        <v>141</v>
      </c>
      <c r="H137" s="575" t="s">
        <v>154</v>
      </c>
      <c r="K137" s="588"/>
    </row>
    <row r="138" spans="1:14" ht="30" customHeight="1">
      <c r="A138" s="1365" t="s">
        <v>318</v>
      </c>
      <c r="B138" s="1366"/>
      <c r="C138" s="1366"/>
      <c r="D138" s="1367"/>
      <c r="E138" s="442">
        <f>TRUNC(E139*8,0)</f>
        <v>154224</v>
      </c>
      <c r="F138" s="428"/>
      <c r="G138" s="520"/>
      <c r="H138" s="276" t="s">
        <v>140</v>
      </c>
    </row>
    <row r="139" spans="1:14" ht="30" customHeight="1">
      <c r="A139" s="1365" t="s">
        <v>319</v>
      </c>
      <c r="B139" s="1366"/>
      <c r="C139" s="1366"/>
      <c r="D139" s="1367"/>
      <c r="E139" s="442">
        <f>TRUNC(월기본급!$G$15+(E145/209),0)</f>
        <v>19278</v>
      </c>
      <c r="F139" s="428"/>
      <c r="G139" s="520"/>
      <c r="H139" s="276" t="s">
        <v>137</v>
      </c>
    </row>
    <row r="140" spans="1:14" ht="30" customHeight="1">
      <c r="A140" s="1365" t="s">
        <v>320</v>
      </c>
      <c r="B140" s="1366"/>
      <c r="C140" s="1366"/>
      <c r="D140" s="1367"/>
      <c r="E140" s="442">
        <f>월기본급!$I$15</f>
        <v>2515878</v>
      </c>
      <c r="F140" s="428"/>
      <c r="G140" s="520" t="str">
        <f>월기본급!$A$1&amp;" 참조"</f>
        <v>[ 표 : 8 ]  참조</v>
      </c>
      <c r="H140" s="276" t="s">
        <v>138</v>
      </c>
    </row>
    <row r="141" spans="1:14" ht="30" customHeight="1">
      <c r="A141" s="1356" t="s">
        <v>255</v>
      </c>
      <c r="B141" s="368"/>
      <c r="C141" s="425" t="s">
        <v>114</v>
      </c>
      <c r="D141" s="369"/>
      <c r="E141" s="442">
        <f>TRUNC(E138*15/12,0)</f>
        <v>192780</v>
      </c>
      <c r="F141" s="428"/>
      <c r="G141" s="520" t="s">
        <v>249</v>
      </c>
      <c r="H141" s="276" t="s">
        <v>139</v>
      </c>
      <c r="M141" s="317"/>
    </row>
    <row r="142" spans="1:14" ht="30" customHeight="1">
      <c r="A142" s="1368"/>
      <c r="B142" s="368"/>
      <c r="C142" s="425" t="s">
        <v>251</v>
      </c>
      <c r="D142" s="369"/>
      <c r="E142" s="442">
        <f>TRUNC(E138*I142*150%)</f>
        <v>0</v>
      </c>
      <c r="F142" s="428"/>
      <c r="G142" s="520" t="s">
        <v>252</v>
      </c>
      <c r="H142" s="276" t="s">
        <v>214</v>
      </c>
      <c r="J142" s="566" t="s">
        <v>323</v>
      </c>
      <c r="L142" s="62"/>
      <c r="M142" s="317"/>
    </row>
    <row r="143" spans="1:14" ht="30" customHeight="1">
      <c r="A143" s="1368"/>
      <c r="B143" s="368"/>
      <c r="C143" s="425" t="s">
        <v>315</v>
      </c>
      <c r="D143" s="369"/>
      <c r="E143" s="442">
        <f>TRUNC(E138*I143*150%)</f>
        <v>416404</v>
      </c>
      <c r="F143" s="428"/>
      <c r="G143" s="520" t="s">
        <v>252</v>
      </c>
      <c r="H143" s="276" t="s">
        <v>247</v>
      </c>
      <c r="I143" s="565">
        <f>$K$5</f>
        <v>1.8</v>
      </c>
      <c r="J143" s="566" t="s">
        <v>324</v>
      </c>
      <c r="L143" s="62"/>
    </row>
    <row r="144" spans="1:14" ht="30" customHeight="1">
      <c r="A144" s="1357"/>
      <c r="B144" s="368"/>
      <c r="C144" s="425" t="s">
        <v>115</v>
      </c>
      <c r="D144" s="369"/>
      <c r="E144" s="442">
        <f>SUM(E141:E143)</f>
        <v>609184</v>
      </c>
      <c r="F144" s="428"/>
      <c r="G144" s="577"/>
      <c r="H144" s="276"/>
    </row>
    <row r="145" spans="1:14" ht="30" customHeight="1">
      <c r="A145" s="1365" t="s">
        <v>321</v>
      </c>
      <c r="B145" s="1366"/>
      <c r="C145" s="1366"/>
      <c r="D145" s="1367"/>
      <c r="E145" s="442">
        <f>TRUNC(E140*$I$5/12,0)</f>
        <v>838626</v>
      </c>
      <c r="F145" s="428"/>
      <c r="G145" s="578"/>
      <c r="H145" s="276" t="s">
        <v>254</v>
      </c>
    </row>
    <row r="146" spans="1:14" ht="30" customHeight="1">
      <c r="A146" s="1365" t="s">
        <v>322</v>
      </c>
      <c r="B146" s="1366"/>
      <c r="C146" s="1366"/>
      <c r="D146" s="1367"/>
      <c r="E146" s="442">
        <f>TRUNC(SUM(E140,E144,E145)/12,0)</f>
        <v>330307</v>
      </c>
      <c r="F146" s="428"/>
      <c r="G146" s="578" t="s">
        <v>209</v>
      </c>
      <c r="H146" s="276" t="s">
        <v>267</v>
      </c>
    </row>
    <row r="147" spans="1:14" ht="30" customHeight="1">
      <c r="A147" s="1360" t="s">
        <v>116</v>
      </c>
      <c r="B147" s="1361"/>
      <c r="C147" s="1361"/>
      <c r="D147" s="1362"/>
      <c r="E147" s="442">
        <f>SUM(E140,E144,E145,E146)</f>
        <v>4293995</v>
      </c>
      <c r="F147" s="428"/>
      <c r="G147" s="442"/>
      <c r="H147" s="22"/>
    </row>
    <row r="148" spans="1:14" s="433" customFormat="1" ht="30" customHeight="1">
      <c r="A148" s="25" t="str">
        <f>"주 1) 통상일급 : 통상시간급 × 8시간"</f>
        <v>주 1) 통상일급 : 통상시간급 × 8시간</v>
      </c>
      <c r="B148" s="25"/>
      <c r="C148" s="25"/>
      <c r="D148" s="25"/>
      <c r="E148" s="431"/>
      <c r="F148" s="431"/>
      <c r="G148" s="431"/>
      <c r="H148" s="431"/>
      <c r="I148" s="580"/>
      <c r="J148" s="581"/>
      <c r="K148" s="580"/>
    </row>
    <row r="149" spans="1:14" s="433" customFormat="1" ht="30" customHeight="1">
      <c r="A149" s="25" t="s">
        <v>326</v>
      </c>
      <c r="E149" s="432"/>
      <c r="F149" s="432"/>
      <c r="G149" s="277"/>
      <c r="H149" s="277"/>
      <c r="I149" s="580"/>
      <c r="J149" s="581"/>
      <c r="K149" s="580"/>
    </row>
    <row r="150" spans="1:14" ht="29.1" customHeight="1">
      <c r="A150" s="579" t="s">
        <v>746</v>
      </c>
      <c r="B150" s="12"/>
      <c r="C150" s="12"/>
      <c r="D150" s="12"/>
      <c r="G150" s="58"/>
      <c r="H150" s="58"/>
    </row>
    <row r="151" spans="1:14" s="433" customFormat="1" ht="30" customHeight="1">
      <c r="A151" s="25" t="str">
        <f>"   3) 기본급 : "&amp;월기본급!$A$1&amp;월기본급!$A$2&amp;" 참조"</f>
        <v xml:space="preserve">   3) 기본급 : [ 표 : 8 ] 월(M/M)당기본급산출표 참조</v>
      </c>
      <c r="B151" s="25"/>
      <c r="C151" s="25"/>
      <c r="D151" s="25"/>
      <c r="E151" s="583"/>
      <c r="F151" s="583"/>
      <c r="G151" s="583"/>
      <c r="H151" s="583"/>
      <c r="I151" s="584"/>
      <c r="J151" s="584"/>
      <c r="K151" s="580"/>
      <c r="L151" s="582"/>
    </row>
    <row r="152" spans="1:14" s="433" customFormat="1" ht="30" customHeight="1">
      <c r="A152" s="582" t="str">
        <f>"   4) 년차수당 : "&amp;FIXED(E138,0)&amp;"(통상일급) × 15일/년 ÷ 12개월"</f>
        <v xml:space="preserve">   4) 년차수당 : 154,224(통상일급) × 15일/년 ÷ 12개월</v>
      </c>
      <c r="B152" s="25"/>
      <c r="C152" s="25"/>
      <c r="D152" s="25"/>
      <c r="E152" s="583"/>
      <c r="F152" s="583"/>
      <c r="G152" s="583"/>
      <c r="H152" s="583"/>
      <c r="I152" s="584"/>
      <c r="J152" s="584"/>
      <c r="K152" s="580"/>
      <c r="L152" s="582"/>
    </row>
    <row r="153" spans="1:14" s="433" customFormat="1" ht="30" customHeight="1">
      <c r="A153" s="69" t="str">
        <f>"   5) 연장근로수당 : "&amp;FIXED(E138,0)&amp;"(통상일급) × "&amp;I142&amp;"일(연장근로일수) × 150%"</f>
        <v xml:space="preserve">   5) 연장근로수당 : 154,224(통상일급) × 일(연장근로일수) × 150%</v>
      </c>
      <c r="B153" s="25"/>
      <c r="C153" s="25"/>
      <c r="D153" s="25"/>
      <c r="E153" s="583"/>
      <c r="F153" s="583"/>
      <c r="G153" s="583"/>
      <c r="H153" s="583"/>
      <c r="I153" s="584"/>
      <c r="J153" s="584"/>
      <c r="K153" s="580"/>
      <c r="L153" s="582"/>
    </row>
    <row r="154" spans="1:14" ht="30" customHeight="1">
      <c r="A154" s="69" t="str">
        <f>"   6) 휴일근로수당 : "&amp;FIXED(E138,0)&amp;"(통상일급) × "&amp;I143&amp;"일(휴일근로일수) × 150%"</f>
        <v xml:space="preserve">   6) 휴일근로수당 : 154,224(통상일급) × 1.8일(휴일근로일수) × 150%</v>
      </c>
      <c r="G154" s="58"/>
      <c r="H154" s="58"/>
      <c r="I154" s="12"/>
      <c r="J154" s="69"/>
      <c r="K154" s="12"/>
    </row>
    <row r="155" spans="1:14" ht="30" customHeight="1">
      <c r="A155" s="582" t="str">
        <f>"   7) 상여금 : "&amp;FIXED(E140,0)&amp;"(기본급) × "&amp;$I$5&amp;"개월(년 "&amp;$I$5*100&amp;"% 적용) ÷ 12개월"</f>
        <v xml:space="preserve">   7) 상여금 : 2,515,878(기본급) × 4개월(년 400% 적용) ÷ 12개월</v>
      </c>
      <c r="G155" s="58"/>
      <c r="H155" s="58"/>
    </row>
    <row r="156" spans="1:14" ht="30" customHeight="1">
      <c r="A156" s="582" t="str">
        <f>"   8) 퇴직급여충당금 : {"&amp;FIXED(E140,0)&amp;"(기본급)+"&amp;FIXED(E144,0)&amp;"(제수당)+"&amp;FIXED(E145,0)&amp;"(상여금)} ÷ 12개월"</f>
        <v xml:space="preserve">   8) 퇴직급여충당금 : {2,515,878(기본급)+609,184(제수당)+838,626(상여금)} ÷ 12개월</v>
      </c>
      <c r="B156" s="585"/>
      <c r="C156" s="585"/>
      <c r="D156" s="585"/>
      <c r="E156" s="585"/>
      <c r="F156" s="585"/>
      <c r="G156" s="585"/>
      <c r="H156" s="585"/>
    </row>
    <row r="157" spans="1:14" ht="30" customHeight="1">
      <c r="A157" s="3"/>
      <c r="B157" s="3"/>
      <c r="C157" s="3"/>
      <c r="D157" s="3"/>
    </row>
    <row r="158" spans="1:14" ht="20.100000000000001" customHeight="1">
      <c r="A158" s="569" t="str">
        <f>"구분:"&amp;월기본급!$A$16&amp;"      직책:"&amp;월기본급!$B$16&amp;"      직종명:"&amp;월기본급!$D$16&amp;""</f>
        <v>구분:운영팀      직책:기계담당      직종명:고급숙련기술자</v>
      </c>
      <c r="B158" s="69"/>
      <c r="C158" s="69"/>
      <c r="D158" s="69"/>
      <c r="E158" s="69"/>
      <c r="F158" s="432"/>
      <c r="G158" s="432"/>
      <c r="H158" s="422" t="s">
        <v>168</v>
      </c>
      <c r="I158" s="586">
        <f>월기본급!$H$15</f>
        <v>20.6</v>
      </c>
      <c r="J158" s="566" t="s">
        <v>212</v>
      </c>
      <c r="K158" s="587"/>
      <c r="L158" s="573"/>
      <c r="M158" s="573"/>
      <c r="N158" s="573"/>
    </row>
    <row r="159" spans="1:14" ht="39.950000000000003" customHeight="1">
      <c r="A159" s="1360" t="s">
        <v>113</v>
      </c>
      <c r="B159" s="1361"/>
      <c r="C159" s="1361"/>
      <c r="D159" s="1362"/>
      <c r="E159" s="1363" t="s">
        <v>155</v>
      </c>
      <c r="F159" s="1364"/>
      <c r="G159" s="423" t="s">
        <v>141</v>
      </c>
      <c r="H159" s="575" t="s">
        <v>154</v>
      </c>
      <c r="K159" s="588"/>
    </row>
    <row r="160" spans="1:14" ht="30" customHeight="1">
      <c r="A160" s="1365" t="s">
        <v>318</v>
      </c>
      <c r="B160" s="1366"/>
      <c r="C160" s="1366"/>
      <c r="D160" s="1367"/>
      <c r="E160" s="442">
        <f>TRUNC(E161*8,0)</f>
        <v>154224</v>
      </c>
      <c r="F160" s="428"/>
      <c r="G160" s="520"/>
      <c r="H160" s="276" t="s">
        <v>140</v>
      </c>
    </row>
    <row r="161" spans="1:13" ht="30" customHeight="1">
      <c r="A161" s="1365" t="s">
        <v>319</v>
      </c>
      <c r="B161" s="1366"/>
      <c r="C161" s="1366"/>
      <c r="D161" s="1367"/>
      <c r="E161" s="442">
        <f>TRUNC(월기본급!$G$16+(E167/209),0)</f>
        <v>19278</v>
      </c>
      <c r="F161" s="428"/>
      <c r="G161" s="520"/>
      <c r="H161" s="276" t="s">
        <v>137</v>
      </c>
    </row>
    <row r="162" spans="1:13" ht="30" customHeight="1">
      <c r="A162" s="1365" t="s">
        <v>320</v>
      </c>
      <c r="B162" s="1366"/>
      <c r="C162" s="1366"/>
      <c r="D162" s="1367"/>
      <c r="E162" s="442">
        <f>월기본급!$I$16</f>
        <v>2515878</v>
      </c>
      <c r="F162" s="428"/>
      <c r="G162" s="520" t="str">
        <f>월기본급!$A$1&amp;" 참조"</f>
        <v>[ 표 : 8 ]  참조</v>
      </c>
      <c r="H162" s="276" t="s">
        <v>138</v>
      </c>
    </row>
    <row r="163" spans="1:13" ht="30" customHeight="1">
      <c r="A163" s="1356" t="s">
        <v>255</v>
      </c>
      <c r="B163" s="368"/>
      <c r="C163" s="425" t="s">
        <v>114</v>
      </c>
      <c r="D163" s="369"/>
      <c r="E163" s="442">
        <f>TRUNC(E160*15/12,0)</f>
        <v>192780</v>
      </c>
      <c r="F163" s="428"/>
      <c r="G163" s="520" t="s">
        <v>249</v>
      </c>
      <c r="H163" s="276" t="s">
        <v>139</v>
      </c>
      <c r="M163" s="317"/>
    </row>
    <row r="164" spans="1:13" ht="30" customHeight="1">
      <c r="A164" s="1368"/>
      <c r="B164" s="368"/>
      <c r="C164" s="425" t="s">
        <v>251</v>
      </c>
      <c r="D164" s="369"/>
      <c r="E164" s="442">
        <f>TRUNC(E160*I164*150%)</f>
        <v>0</v>
      </c>
      <c r="F164" s="428"/>
      <c r="G164" s="520" t="s">
        <v>252</v>
      </c>
      <c r="H164" s="276" t="s">
        <v>214</v>
      </c>
      <c r="J164" s="566" t="s">
        <v>323</v>
      </c>
      <c r="L164" s="62"/>
      <c r="M164" s="317"/>
    </row>
    <row r="165" spans="1:13" ht="30" customHeight="1">
      <c r="A165" s="1368"/>
      <c r="B165" s="368"/>
      <c r="C165" s="425" t="s">
        <v>276</v>
      </c>
      <c r="D165" s="369"/>
      <c r="E165" s="442">
        <f>TRUNC(E160*I165*150%)</f>
        <v>416404</v>
      </c>
      <c r="F165" s="428"/>
      <c r="G165" s="520" t="s">
        <v>252</v>
      </c>
      <c r="H165" s="276" t="s">
        <v>247</v>
      </c>
      <c r="I165" s="565">
        <f>$K$5</f>
        <v>1.8</v>
      </c>
      <c r="J165" s="566" t="s">
        <v>324</v>
      </c>
      <c r="L165" s="62"/>
    </row>
    <row r="166" spans="1:13" ht="30" customHeight="1">
      <c r="A166" s="1357"/>
      <c r="B166" s="368"/>
      <c r="C166" s="425" t="s">
        <v>115</v>
      </c>
      <c r="D166" s="369"/>
      <c r="E166" s="442">
        <f>SUM(E163:E165)</f>
        <v>609184</v>
      </c>
      <c r="F166" s="428"/>
      <c r="G166" s="577"/>
      <c r="H166" s="276"/>
    </row>
    <row r="167" spans="1:13" ht="30" customHeight="1">
      <c r="A167" s="1365" t="s">
        <v>321</v>
      </c>
      <c r="B167" s="1366"/>
      <c r="C167" s="1366"/>
      <c r="D167" s="1367"/>
      <c r="E167" s="442">
        <f>TRUNC(E162*$I$5/12,0)</f>
        <v>838626</v>
      </c>
      <c r="F167" s="428"/>
      <c r="G167" s="578"/>
      <c r="H167" s="276" t="s">
        <v>254</v>
      </c>
    </row>
    <row r="168" spans="1:13" ht="30" customHeight="1">
      <c r="A168" s="1365" t="s">
        <v>322</v>
      </c>
      <c r="B168" s="1366"/>
      <c r="C168" s="1366"/>
      <c r="D168" s="1367"/>
      <c r="E168" s="442">
        <f>TRUNC(SUM(E162,E166,E167)/12,0)</f>
        <v>330307</v>
      </c>
      <c r="F168" s="428"/>
      <c r="G168" s="578" t="s">
        <v>209</v>
      </c>
      <c r="H168" s="276" t="s">
        <v>267</v>
      </c>
    </row>
    <row r="169" spans="1:13" ht="30" customHeight="1">
      <c r="A169" s="1360" t="s">
        <v>116</v>
      </c>
      <c r="B169" s="1361"/>
      <c r="C169" s="1361"/>
      <c r="D169" s="1362"/>
      <c r="E169" s="442">
        <f>SUM(E162,E166,E167,E168)</f>
        <v>4293995</v>
      </c>
      <c r="F169" s="428"/>
      <c r="G169" s="442"/>
      <c r="H169" s="22"/>
    </row>
    <row r="170" spans="1:13" s="433" customFormat="1" ht="30" customHeight="1">
      <c r="A170" s="25" t="str">
        <f>"주 1) 통상일급 : 통상시간급 × 8시간"</f>
        <v>주 1) 통상일급 : 통상시간급 × 8시간</v>
      </c>
      <c r="B170" s="25"/>
      <c r="C170" s="25"/>
      <c r="D170" s="25"/>
      <c r="E170" s="431"/>
      <c r="F170" s="431"/>
      <c r="G170" s="431"/>
      <c r="H170" s="431"/>
      <c r="I170" s="580"/>
      <c r="J170" s="581"/>
      <c r="K170" s="580"/>
    </row>
    <row r="171" spans="1:13" s="433" customFormat="1" ht="30" customHeight="1">
      <c r="A171" s="25" t="s">
        <v>326</v>
      </c>
      <c r="E171" s="432"/>
      <c r="F171" s="432"/>
      <c r="G171" s="277"/>
      <c r="H171" s="277"/>
      <c r="I171" s="580"/>
      <c r="J171" s="581"/>
      <c r="K171" s="580"/>
    </row>
    <row r="172" spans="1:13" ht="29.1" customHeight="1">
      <c r="A172" s="579" t="s">
        <v>746</v>
      </c>
      <c r="B172" s="12"/>
      <c r="C172" s="12"/>
      <c r="D172" s="12"/>
      <c r="G172" s="58"/>
      <c r="H172" s="58"/>
    </row>
    <row r="173" spans="1:13" s="433" customFormat="1" ht="30" customHeight="1">
      <c r="A173" s="25" t="str">
        <f>"   3) 기본급 : "&amp;월기본급!$A$1&amp;월기본급!$A$2&amp;" 참조"</f>
        <v xml:space="preserve">   3) 기본급 : [ 표 : 8 ] 월(M/M)당기본급산출표 참조</v>
      </c>
      <c r="B173" s="25"/>
      <c r="C173" s="25"/>
      <c r="D173" s="25"/>
      <c r="E173" s="583"/>
      <c r="F173" s="583"/>
      <c r="G173" s="583"/>
      <c r="H173" s="583"/>
      <c r="I173" s="584"/>
      <c r="J173" s="584"/>
      <c r="K173" s="580"/>
      <c r="L173" s="582"/>
    </row>
    <row r="174" spans="1:13" s="433" customFormat="1" ht="30" customHeight="1">
      <c r="A174" s="582" t="str">
        <f>"   4) 년차수당 : "&amp;FIXED(E160,0)&amp;"(통상일급) × 15일/년 ÷ 12개월"</f>
        <v xml:space="preserve">   4) 년차수당 : 154,224(통상일급) × 15일/년 ÷ 12개월</v>
      </c>
      <c r="B174" s="25"/>
      <c r="C174" s="25"/>
      <c r="D174" s="25"/>
      <c r="E174" s="583"/>
      <c r="F174" s="583"/>
      <c r="G174" s="583"/>
      <c r="H174" s="583"/>
      <c r="I174" s="584"/>
      <c r="J174" s="584"/>
      <c r="K174" s="580"/>
      <c r="L174" s="582"/>
    </row>
    <row r="175" spans="1:13" s="433" customFormat="1" ht="30" customHeight="1">
      <c r="A175" s="69" t="str">
        <f>"   5) 연장근로수당 : "&amp;FIXED(E160,0)&amp;"(통상일급) × "&amp;I164&amp;"일(연장근로일수) × 150%"</f>
        <v xml:space="preserve">   5) 연장근로수당 : 154,224(통상일급) × 일(연장근로일수) × 150%</v>
      </c>
      <c r="B175" s="25"/>
      <c r="C175" s="25"/>
      <c r="D175" s="25"/>
      <c r="E175" s="583"/>
      <c r="F175" s="583"/>
      <c r="G175" s="583"/>
      <c r="H175" s="583"/>
      <c r="I175" s="584"/>
      <c r="J175" s="584"/>
      <c r="K175" s="580"/>
      <c r="L175" s="582"/>
    </row>
    <row r="176" spans="1:13" ht="30" customHeight="1">
      <c r="A176" s="69" t="str">
        <f>"   6) 휴일근로수당 : "&amp;FIXED(E160,0)&amp;"(통상일급) × "&amp;I165&amp;"일(휴일근로일수) × 150%"</f>
        <v xml:space="preserve">   6) 휴일근로수당 : 154,224(통상일급) × 1.8일(휴일근로일수) × 150%</v>
      </c>
      <c r="G176" s="58"/>
      <c r="H176" s="58"/>
      <c r="I176" s="12"/>
      <c r="J176" s="69"/>
      <c r="K176" s="12"/>
    </row>
    <row r="177" spans="1:14" ht="30" customHeight="1">
      <c r="A177" s="582" t="str">
        <f>"   7) 상여금 : "&amp;FIXED(E162,0)&amp;"(기본급) × "&amp;$I$5&amp;"개월(년 "&amp;$I$5*100&amp;"% 적용) ÷ 12개월"</f>
        <v xml:space="preserve">   7) 상여금 : 2,515,878(기본급) × 4개월(년 400% 적용) ÷ 12개월</v>
      </c>
      <c r="G177" s="58"/>
      <c r="H177" s="58"/>
    </row>
    <row r="178" spans="1:14" ht="30" customHeight="1">
      <c r="A178" s="582" t="str">
        <f>"   8) 퇴직급여충당금 : {"&amp;FIXED(E162,0)&amp;"(기본급)+"&amp;FIXED(E166,0)&amp;"(제수당)+"&amp;FIXED(E167,0)&amp;"(상여금)} ÷ 12개월"</f>
        <v xml:space="preserve">   8) 퇴직급여충당금 : {2,515,878(기본급)+609,184(제수당)+838,626(상여금)} ÷ 12개월</v>
      </c>
      <c r="B178" s="585"/>
      <c r="C178" s="585"/>
      <c r="D178" s="585"/>
      <c r="E178" s="585"/>
      <c r="F178" s="585"/>
      <c r="G178" s="585"/>
      <c r="H178" s="585"/>
    </row>
    <row r="179" spans="1:14" ht="30" customHeight="1">
      <c r="A179" s="3"/>
      <c r="B179" s="3"/>
      <c r="C179" s="3"/>
      <c r="D179" s="3"/>
    </row>
    <row r="180" spans="1:14" ht="20.100000000000001" customHeight="1">
      <c r="A180" s="569" t="str">
        <f>"구분:"&amp;월기본급!$A$17&amp;"      직책:"&amp;월기본급!$B$17&amp;"      직종명:"&amp;월기본급!$D$17&amp;""</f>
        <v>구분:운영팀      직책:전기담당      직종명:중급숙련기술자</v>
      </c>
      <c r="B180" s="69"/>
      <c r="C180" s="69"/>
      <c r="D180" s="69"/>
      <c r="E180" s="69"/>
      <c r="F180" s="432"/>
      <c r="G180" s="432"/>
      <c r="H180" s="422" t="s">
        <v>168</v>
      </c>
      <c r="I180" s="586">
        <f>월기본급!$H$16</f>
        <v>20.6</v>
      </c>
      <c r="J180" s="566" t="s">
        <v>212</v>
      </c>
      <c r="K180" s="587"/>
      <c r="L180" s="573"/>
      <c r="M180" s="573"/>
      <c r="N180" s="573"/>
    </row>
    <row r="181" spans="1:14" ht="39.950000000000003" customHeight="1">
      <c r="A181" s="1360" t="s">
        <v>113</v>
      </c>
      <c r="B181" s="1361"/>
      <c r="C181" s="1361"/>
      <c r="D181" s="1362"/>
      <c r="E181" s="1363" t="s">
        <v>155</v>
      </c>
      <c r="F181" s="1364"/>
      <c r="G181" s="423" t="s">
        <v>141</v>
      </c>
      <c r="H181" s="575" t="s">
        <v>154</v>
      </c>
      <c r="K181" s="588"/>
    </row>
    <row r="182" spans="1:14" ht="30" customHeight="1">
      <c r="A182" s="1365" t="s">
        <v>318</v>
      </c>
      <c r="B182" s="1366"/>
      <c r="C182" s="1366"/>
      <c r="D182" s="1367"/>
      <c r="E182" s="442">
        <f>TRUNC(E183*8,0)</f>
        <v>137224</v>
      </c>
      <c r="F182" s="428"/>
      <c r="G182" s="520"/>
      <c r="H182" s="276" t="s">
        <v>140</v>
      </c>
    </row>
    <row r="183" spans="1:14" ht="30" customHeight="1">
      <c r="A183" s="1365" t="s">
        <v>319</v>
      </c>
      <c r="B183" s="1366"/>
      <c r="C183" s="1366"/>
      <c r="D183" s="1367"/>
      <c r="E183" s="442">
        <f>TRUNC(월기본급!$G$17+(E189/209),0)</f>
        <v>17153</v>
      </c>
      <c r="F183" s="428"/>
      <c r="G183" s="520"/>
      <c r="H183" s="276" t="s">
        <v>137</v>
      </c>
    </row>
    <row r="184" spans="1:14" ht="30" customHeight="1">
      <c r="A184" s="1365" t="s">
        <v>320</v>
      </c>
      <c r="B184" s="1366"/>
      <c r="C184" s="1366"/>
      <c r="D184" s="1367"/>
      <c r="E184" s="442">
        <f>월기본급!$I$17</f>
        <v>2238540</v>
      </c>
      <c r="F184" s="428"/>
      <c r="G184" s="520" t="str">
        <f>월기본급!$A$1&amp;" 참조"</f>
        <v>[ 표 : 8 ]  참조</v>
      </c>
      <c r="H184" s="276" t="s">
        <v>138</v>
      </c>
    </row>
    <row r="185" spans="1:14" ht="30" customHeight="1">
      <c r="A185" s="1356" t="s">
        <v>255</v>
      </c>
      <c r="B185" s="368"/>
      <c r="C185" s="425" t="s">
        <v>114</v>
      </c>
      <c r="D185" s="369"/>
      <c r="E185" s="442">
        <f>TRUNC(E182*15/12,0)</f>
        <v>171530</v>
      </c>
      <c r="F185" s="428"/>
      <c r="G185" s="520" t="s">
        <v>249</v>
      </c>
      <c r="H185" s="276" t="s">
        <v>139</v>
      </c>
      <c r="M185" s="317"/>
    </row>
    <row r="186" spans="1:14" ht="30" customHeight="1">
      <c r="A186" s="1368"/>
      <c r="B186" s="368"/>
      <c r="C186" s="425" t="s">
        <v>251</v>
      </c>
      <c r="D186" s="369"/>
      <c r="E186" s="442">
        <f>TRUNC(E182*I186*150%)</f>
        <v>0</v>
      </c>
      <c r="F186" s="428"/>
      <c r="G186" s="520" t="s">
        <v>252</v>
      </c>
      <c r="H186" s="276" t="s">
        <v>214</v>
      </c>
      <c r="J186" s="566" t="s">
        <v>323</v>
      </c>
      <c r="L186" s="62"/>
      <c r="M186" s="317"/>
    </row>
    <row r="187" spans="1:14" ht="30" customHeight="1">
      <c r="A187" s="1368"/>
      <c r="B187" s="368"/>
      <c r="C187" s="425" t="s">
        <v>276</v>
      </c>
      <c r="D187" s="369"/>
      <c r="E187" s="442">
        <f>TRUNC(E182*I187*150%)</f>
        <v>370504</v>
      </c>
      <c r="F187" s="428"/>
      <c r="G187" s="520" t="s">
        <v>252</v>
      </c>
      <c r="H187" s="276" t="s">
        <v>247</v>
      </c>
      <c r="I187" s="565">
        <f>$K$5</f>
        <v>1.8</v>
      </c>
      <c r="J187" s="566" t="s">
        <v>324</v>
      </c>
      <c r="L187" s="62"/>
    </row>
    <row r="188" spans="1:14" ht="30" customHeight="1">
      <c r="A188" s="1357"/>
      <c r="B188" s="368"/>
      <c r="C188" s="425" t="s">
        <v>115</v>
      </c>
      <c r="D188" s="369"/>
      <c r="E188" s="442">
        <f>SUM(E185:E187)</f>
        <v>542034</v>
      </c>
      <c r="F188" s="428"/>
      <c r="G188" s="577"/>
      <c r="H188" s="276"/>
    </row>
    <row r="189" spans="1:14" ht="30" customHeight="1">
      <c r="A189" s="1365" t="s">
        <v>321</v>
      </c>
      <c r="B189" s="1366"/>
      <c r="C189" s="1366"/>
      <c r="D189" s="1367"/>
      <c r="E189" s="442">
        <f>TRUNC(E184*$I$5/12,0)</f>
        <v>746180</v>
      </c>
      <c r="F189" s="428"/>
      <c r="G189" s="578"/>
      <c r="H189" s="276" t="s">
        <v>254</v>
      </c>
    </row>
    <row r="190" spans="1:14" ht="30" customHeight="1">
      <c r="A190" s="1365" t="s">
        <v>322</v>
      </c>
      <c r="B190" s="1366"/>
      <c r="C190" s="1366"/>
      <c r="D190" s="1367"/>
      <c r="E190" s="442">
        <f>TRUNC(SUM(E184,E188,E189)/12,0)</f>
        <v>293896</v>
      </c>
      <c r="F190" s="428"/>
      <c r="G190" s="578" t="s">
        <v>209</v>
      </c>
      <c r="H190" s="276" t="s">
        <v>267</v>
      </c>
    </row>
    <row r="191" spans="1:14" ht="30" customHeight="1">
      <c r="A191" s="1360" t="s">
        <v>116</v>
      </c>
      <c r="B191" s="1361"/>
      <c r="C191" s="1361"/>
      <c r="D191" s="1362"/>
      <c r="E191" s="442">
        <f>SUM(E184,E188,E189,E190)</f>
        <v>3820650</v>
      </c>
      <c r="F191" s="428"/>
      <c r="G191" s="442"/>
      <c r="H191" s="22"/>
    </row>
    <row r="192" spans="1:14" s="433" customFormat="1" ht="30" customHeight="1">
      <c r="A192" s="25" t="str">
        <f>"주 1) 통상일급 : 통상시간급 × 8시간"</f>
        <v>주 1) 통상일급 : 통상시간급 × 8시간</v>
      </c>
      <c r="B192" s="25"/>
      <c r="C192" s="25"/>
      <c r="D192" s="25"/>
      <c r="E192" s="431"/>
      <c r="F192" s="431"/>
      <c r="G192" s="431"/>
      <c r="H192" s="431"/>
      <c r="I192" s="580"/>
      <c r="J192" s="581"/>
      <c r="K192" s="580"/>
    </row>
    <row r="193" spans="1:14" s="433" customFormat="1" ht="30" customHeight="1">
      <c r="A193" s="25" t="s">
        <v>326</v>
      </c>
      <c r="E193" s="432"/>
      <c r="F193" s="432"/>
      <c r="G193" s="277"/>
      <c r="H193" s="277"/>
      <c r="I193" s="580"/>
      <c r="J193" s="581"/>
      <c r="K193" s="580"/>
    </row>
    <row r="194" spans="1:14" ht="29.1" customHeight="1">
      <c r="A194" s="579" t="s">
        <v>746</v>
      </c>
      <c r="B194" s="12"/>
      <c r="C194" s="12"/>
      <c r="D194" s="12"/>
      <c r="G194" s="58"/>
      <c r="H194" s="58"/>
    </row>
    <row r="195" spans="1:14" s="433" customFormat="1" ht="30" customHeight="1">
      <c r="A195" s="25" t="str">
        <f>"   3) 기본급 : "&amp;월기본급!$A$1&amp;월기본급!$A$2&amp;" 참조"</f>
        <v xml:space="preserve">   3) 기본급 : [ 표 : 8 ] 월(M/M)당기본급산출표 참조</v>
      </c>
      <c r="B195" s="25"/>
      <c r="C195" s="25"/>
      <c r="D195" s="25"/>
      <c r="E195" s="583"/>
      <c r="F195" s="583"/>
      <c r="G195" s="583"/>
      <c r="H195" s="583"/>
      <c r="I195" s="584"/>
      <c r="J195" s="584"/>
      <c r="K195" s="580"/>
      <c r="L195" s="582"/>
    </row>
    <row r="196" spans="1:14" s="433" customFormat="1" ht="30" customHeight="1">
      <c r="A196" s="582" t="str">
        <f>"   4) 년차수당 : "&amp;FIXED(E182,0)&amp;"(통상일급) × 15일/년 ÷ 12개월"</f>
        <v xml:space="preserve">   4) 년차수당 : 137,224(통상일급) × 15일/년 ÷ 12개월</v>
      </c>
      <c r="B196" s="25"/>
      <c r="C196" s="25"/>
      <c r="D196" s="25"/>
      <c r="E196" s="583"/>
      <c r="F196" s="583"/>
      <c r="G196" s="583"/>
      <c r="H196" s="583"/>
      <c r="I196" s="584"/>
      <c r="J196" s="584"/>
      <c r="K196" s="580"/>
      <c r="L196" s="582"/>
    </row>
    <row r="197" spans="1:14" s="433" customFormat="1" ht="30" customHeight="1">
      <c r="A197" s="69" t="str">
        <f>"   5) 연장근로수당 : "&amp;FIXED(E182,0)&amp;"(통상일급) × "&amp;I186&amp;"일(연장근로일수) × 150%"</f>
        <v xml:space="preserve">   5) 연장근로수당 : 137,224(통상일급) × 일(연장근로일수) × 150%</v>
      </c>
      <c r="B197" s="25"/>
      <c r="C197" s="25"/>
      <c r="D197" s="25"/>
      <c r="E197" s="583"/>
      <c r="F197" s="583"/>
      <c r="G197" s="583"/>
      <c r="H197" s="583"/>
      <c r="I197" s="584"/>
      <c r="J197" s="584"/>
      <c r="K197" s="580"/>
      <c r="L197" s="582"/>
    </row>
    <row r="198" spans="1:14" ht="30" customHeight="1">
      <c r="A198" s="69" t="str">
        <f>"   6) 휴일근로수당 : "&amp;FIXED(E182,0)&amp;"(통상일급) × "&amp;I187&amp;"일(휴일근로일수) × 150%"</f>
        <v xml:space="preserve">   6) 휴일근로수당 : 137,224(통상일급) × 1.8일(휴일근로일수) × 150%</v>
      </c>
      <c r="G198" s="58"/>
      <c r="H198" s="58"/>
      <c r="I198" s="12"/>
      <c r="J198" s="69"/>
      <c r="K198" s="12"/>
    </row>
    <row r="199" spans="1:14" ht="30" customHeight="1">
      <c r="A199" s="582" t="str">
        <f>"   7) 상여금 : "&amp;FIXED(E184,0)&amp;"(기본급) × "&amp;$I$5&amp;"개월(년 "&amp;$I$5*100&amp;"% 적용) ÷ 12개월"</f>
        <v xml:space="preserve">   7) 상여금 : 2,238,540(기본급) × 4개월(년 400% 적용) ÷ 12개월</v>
      </c>
      <c r="G199" s="58"/>
      <c r="H199" s="58"/>
    </row>
    <row r="200" spans="1:14" ht="30" customHeight="1">
      <c r="A200" s="582" t="str">
        <f>"   8) 퇴직급여충당금 : {"&amp;FIXED(E184,0)&amp;"(기본급)+"&amp;FIXED(E188,0)&amp;"(제수당)+"&amp;FIXED(E189,0)&amp;"(상여금)} ÷ 12개월"</f>
        <v xml:space="preserve">   8) 퇴직급여충당금 : {2,238,540(기본급)+542,034(제수당)+746,180(상여금)} ÷ 12개월</v>
      </c>
      <c r="B200" s="585"/>
      <c r="C200" s="585"/>
      <c r="D200" s="585"/>
      <c r="E200" s="585"/>
      <c r="F200" s="585"/>
      <c r="G200" s="585"/>
      <c r="H200" s="585"/>
    </row>
    <row r="201" spans="1:14" ht="30" customHeight="1">
      <c r="A201" s="3"/>
      <c r="B201" s="3"/>
      <c r="C201" s="3"/>
      <c r="D201" s="3"/>
    </row>
    <row r="202" spans="1:14" ht="20.100000000000001" customHeight="1">
      <c r="A202" s="569" t="str">
        <f>"구분:"&amp;월기본급!$A$18&amp;"      직책:"&amp;월기본급!$B$18&amp;"      직종명:"&amp;월기본급!$D$18&amp;""</f>
        <v>구분:운영팀      직책:기계담당      직종명:중급숙련기술자</v>
      </c>
      <c r="B202" s="69"/>
      <c r="C202" s="69"/>
      <c r="D202" s="69"/>
      <c r="E202" s="69"/>
      <c r="F202" s="432"/>
      <c r="G202" s="432"/>
      <c r="H202" s="422" t="s">
        <v>168</v>
      </c>
      <c r="I202" s="586">
        <f>월기본급!$H$17</f>
        <v>20.6</v>
      </c>
      <c r="J202" s="566" t="s">
        <v>212</v>
      </c>
      <c r="K202" s="587"/>
      <c r="L202" s="573"/>
      <c r="M202" s="573"/>
      <c r="N202" s="573"/>
    </row>
    <row r="203" spans="1:14" ht="39.950000000000003" customHeight="1">
      <c r="A203" s="1360" t="s">
        <v>113</v>
      </c>
      <c r="B203" s="1361"/>
      <c r="C203" s="1361"/>
      <c r="D203" s="1362"/>
      <c r="E203" s="1363" t="s">
        <v>155</v>
      </c>
      <c r="F203" s="1364"/>
      <c r="G203" s="423" t="s">
        <v>141</v>
      </c>
      <c r="H203" s="575" t="s">
        <v>154</v>
      </c>
      <c r="K203" s="588"/>
    </row>
    <row r="204" spans="1:14" ht="30" customHeight="1">
      <c r="A204" s="1365" t="s">
        <v>318</v>
      </c>
      <c r="B204" s="1366"/>
      <c r="C204" s="1366"/>
      <c r="D204" s="1367"/>
      <c r="E204" s="442">
        <f>TRUNC(E205*8,0)</f>
        <v>137224</v>
      </c>
      <c r="F204" s="428"/>
      <c r="G204" s="520"/>
      <c r="H204" s="276" t="s">
        <v>140</v>
      </c>
    </row>
    <row r="205" spans="1:14" ht="30" customHeight="1">
      <c r="A205" s="1365" t="s">
        <v>319</v>
      </c>
      <c r="B205" s="1366"/>
      <c r="C205" s="1366"/>
      <c r="D205" s="1367"/>
      <c r="E205" s="442">
        <f>TRUNC(월기본급!$G$18+(E211/209),0)</f>
        <v>17153</v>
      </c>
      <c r="F205" s="428"/>
      <c r="G205" s="520"/>
      <c r="H205" s="276" t="s">
        <v>137</v>
      </c>
    </row>
    <row r="206" spans="1:14" ht="30" customHeight="1">
      <c r="A206" s="1365" t="s">
        <v>320</v>
      </c>
      <c r="B206" s="1366"/>
      <c r="C206" s="1366"/>
      <c r="D206" s="1367"/>
      <c r="E206" s="442">
        <f>월기본급!$I$18</f>
        <v>2238540</v>
      </c>
      <c r="F206" s="428"/>
      <c r="G206" s="520" t="str">
        <f>월기본급!$A$1&amp;" 참조"</f>
        <v>[ 표 : 8 ]  참조</v>
      </c>
      <c r="H206" s="276" t="s">
        <v>138</v>
      </c>
    </row>
    <row r="207" spans="1:14" ht="30" customHeight="1">
      <c r="A207" s="1356" t="s">
        <v>255</v>
      </c>
      <c r="B207" s="368"/>
      <c r="C207" s="425" t="s">
        <v>114</v>
      </c>
      <c r="D207" s="369"/>
      <c r="E207" s="442">
        <f>TRUNC(E204*15/12,0)</f>
        <v>171530</v>
      </c>
      <c r="F207" s="428"/>
      <c r="G207" s="520" t="s">
        <v>249</v>
      </c>
      <c r="H207" s="276" t="s">
        <v>139</v>
      </c>
      <c r="M207" s="317"/>
    </row>
    <row r="208" spans="1:14" ht="30" customHeight="1">
      <c r="A208" s="1368"/>
      <c r="B208" s="368"/>
      <c r="C208" s="425" t="s">
        <v>251</v>
      </c>
      <c r="D208" s="369"/>
      <c r="E208" s="442">
        <f>TRUNC(E204*I208*150%)</f>
        <v>0</v>
      </c>
      <c r="F208" s="428"/>
      <c r="G208" s="520" t="s">
        <v>252</v>
      </c>
      <c r="H208" s="276" t="s">
        <v>214</v>
      </c>
      <c r="J208" s="566" t="s">
        <v>323</v>
      </c>
      <c r="L208" s="62"/>
      <c r="M208" s="317"/>
    </row>
    <row r="209" spans="1:12" ht="30" customHeight="1">
      <c r="A209" s="1368"/>
      <c r="B209" s="368"/>
      <c r="C209" s="425" t="s">
        <v>276</v>
      </c>
      <c r="D209" s="369"/>
      <c r="E209" s="442">
        <f>TRUNC(E204*I209*150%)</f>
        <v>370504</v>
      </c>
      <c r="F209" s="428"/>
      <c r="G209" s="520" t="s">
        <v>252</v>
      </c>
      <c r="H209" s="276" t="s">
        <v>247</v>
      </c>
      <c r="I209" s="565">
        <f>$K$5</f>
        <v>1.8</v>
      </c>
      <c r="J209" s="566" t="s">
        <v>324</v>
      </c>
      <c r="L209" s="62"/>
    </row>
    <row r="210" spans="1:12" ht="30" customHeight="1">
      <c r="A210" s="1357"/>
      <c r="B210" s="368"/>
      <c r="C210" s="425" t="s">
        <v>115</v>
      </c>
      <c r="D210" s="369"/>
      <c r="E210" s="442">
        <f>SUM(E207:E209)</f>
        <v>542034</v>
      </c>
      <c r="F210" s="428"/>
      <c r="G210" s="577"/>
      <c r="H210" s="276"/>
    </row>
    <row r="211" spans="1:12" ht="30" customHeight="1">
      <c r="A211" s="1365" t="s">
        <v>321</v>
      </c>
      <c r="B211" s="1366"/>
      <c r="C211" s="1366"/>
      <c r="D211" s="1367"/>
      <c r="E211" s="442">
        <f>TRUNC(E206*$I$5/12,0)</f>
        <v>746180</v>
      </c>
      <c r="F211" s="428"/>
      <c r="G211" s="578"/>
      <c r="H211" s="276" t="s">
        <v>254</v>
      </c>
    </row>
    <row r="212" spans="1:12" ht="30" customHeight="1">
      <c r="A212" s="1365" t="s">
        <v>322</v>
      </c>
      <c r="B212" s="1366"/>
      <c r="C212" s="1366"/>
      <c r="D212" s="1367"/>
      <c r="E212" s="442">
        <f>TRUNC(SUM(E206,E210,E211)/12,0)</f>
        <v>293896</v>
      </c>
      <c r="F212" s="428"/>
      <c r="G212" s="578" t="s">
        <v>209</v>
      </c>
      <c r="H212" s="276" t="s">
        <v>267</v>
      </c>
    </row>
    <row r="213" spans="1:12" ht="30" customHeight="1">
      <c r="A213" s="1360" t="s">
        <v>116</v>
      </c>
      <c r="B213" s="1361"/>
      <c r="C213" s="1361"/>
      <c r="D213" s="1362"/>
      <c r="E213" s="442">
        <f>SUM(E206,E210,E211,E212)</f>
        <v>3820650</v>
      </c>
      <c r="F213" s="428"/>
      <c r="G213" s="442"/>
      <c r="H213" s="22"/>
    </row>
    <row r="214" spans="1:12" s="433" customFormat="1" ht="30" customHeight="1">
      <c r="A214" s="25" t="str">
        <f>"주 1) 통상일급 : 통상시간급 × 8시간"</f>
        <v>주 1) 통상일급 : 통상시간급 × 8시간</v>
      </c>
      <c r="B214" s="25"/>
      <c r="C214" s="25"/>
      <c r="D214" s="25"/>
      <c r="E214" s="431"/>
      <c r="F214" s="431"/>
      <c r="G214" s="431"/>
      <c r="H214" s="431"/>
      <c r="I214" s="580"/>
      <c r="J214" s="581"/>
      <c r="K214" s="580"/>
    </row>
    <row r="215" spans="1:12" s="433" customFormat="1" ht="30" customHeight="1">
      <c r="A215" s="25" t="s">
        <v>326</v>
      </c>
      <c r="E215" s="432"/>
      <c r="F215" s="432"/>
      <c r="G215" s="277"/>
      <c r="H215" s="277"/>
      <c r="I215" s="580"/>
      <c r="J215" s="581"/>
      <c r="K215" s="580"/>
    </row>
    <row r="216" spans="1:12" ht="29.1" customHeight="1">
      <c r="A216" s="579" t="s">
        <v>746</v>
      </c>
      <c r="B216" s="12"/>
      <c r="C216" s="12"/>
      <c r="D216" s="12"/>
      <c r="G216" s="58"/>
      <c r="H216" s="58"/>
    </row>
    <row r="217" spans="1:12" s="433" customFormat="1" ht="30" customHeight="1">
      <c r="A217" s="25" t="str">
        <f>"   3) 기본급 : "&amp;월기본급!$A$1&amp;월기본급!$A$2&amp;" 참조"</f>
        <v xml:space="preserve">   3) 기본급 : [ 표 : 8 ] 월(M/M)당기본급산출표 참조</v>
      </c>
      <c r="B217" s="25"/>
      <c r="C217" s="25"/>
      <c r="D217" s="25"/>
      <c r="E217" s="583"/>
      <c r="F217" s="583"/>
      <c r="G217" s="583"/>
      <c r="H217" s="583"/>
      <c r="I217" s="584"/>
      <c r="J217" s="584"/>
      <c r="K217" s="580"/>
      <c r="L217" s="582"/>
    </row>
    <row r="218" spans="1:12" s="433" customFormat="1" ht="30" customHeight="1">
      <c r="A218" s="582" t="str">
        <f>"   4) 년차수당 : "&amp;FIXED(E204,0)&amp;"(통상일급) × 15일/년 ÷ 12개월"</f>
        <v xml:space="preserve">   4) 년차수당 : 137,224(통상일급) × 15일/년 ÷ 12개월</v>
      </c>
      <c r="B218" s="25"/>
      <c r="C218" s="25"/>
      <c r="D218" s="25"/>
      <c r="E218" s="583"/>
      <c r="F218" s="583"/>
      <c r="G218" s="583"/>
      <c r="H218" s="583"/>
      <c r="I218" s="584"/>
      <c r="J218" s="584"/>
      <c r="K218" s="580"/>
      <c r="L218" s="582"/>
    </row>
    <row r="219" spans="1:12" s="433" customFormat="1" ht="30" customHeight="1">
      <c r="A219" s="69" t="str">
        <f>"   5) 연장근로수당 : "&amp;FIXED(E204,0)&amp;"(통상일급) × "&amp;I208&amp;"일(연장근로일수) × 150%"</f>
        <v xml:space="preserve">   5) 연장근로수당 : 137,224(통상일급) × 일(연장근로일수) × 150%</v>
      </c>
      <c r="B219" s="25"/>
      <c r="C219" s="25"/>
      <c r="D219" s="25"/>
      <c r="E219" s="583"/>
      <c r="F219" s="583"/>
      <c r="G219" s="583"/>
      <c r="H219" s="583"/>
      <c r="I219" s="584"/>
      <c r="J219" s="584"/>
      <c r="K219" s="580"/>
      <c r="L219" s="582"/>
    </row>
    <row r="220" spans="1:12" ht="30" customHeight="1">
      <c r="A220" s="69" t="str">
        <f>"   6) 휴일근로수당 : "&amp;FIXED(E204,0)&amp;"(통상일급) × "&amp;I209&amp;"일(휴일근로일수) × 150%"</f>
        <v xml:space="preserve">   6) 휴일근로수당 : 137,224(통상일급) × 1.8일(휴일근로일수) × 150%</v>
      </c>
      <c r="G220" s="58"/>
      <c r="H220" s="58"/>
      <c r="I220" s="12"/>
      <c r="J220" s="69"/>
      <c r="K220" s="12"/>
    </row>
    <row r="221" spans="1:12" ht="30" customHeight="1">
      <c r="A221" s="582" t="str">
        <f>"   7) 상여금 : "&amp;FIXED(E206,0)&amp;"(기본급) × "&amp;$I$5&amp;"개월(년 "&amp;$I$5*100&amp;"% 적용) ÷ 12개월"</f>
        <v xml:space="preserve">   7) 상여금 : 2,238,540(기본급) × 4개월(년 400% 적용) ÷ 12개월</v>
      </c>
      <c r="G221" s="58"/>
      <c r="H221" s="58"/>
    </row>
    <row r="222" spans="1:12" ht="30" customHeight="1">
      <c r="A222" s="582" t="str">
        <f>"   8) 퇴직급여충당금 : {"&amp;FIXED(E206,0)&amp;"(기본급)+"&amp;FIXED(E210,0)&amp;"(제수당)+"&amp;FIXED(E211,0)&amp;"(상여금)} ÷ 12개월"</f>
        <v xml:space="preserve">   8) 퇴직급여충당금 : {2,238,540(기본급)+542,034(제수당)+746,180(상여금)} ÷ 12개월</v>
      </c>
      <c r="B222" s="585"/>
      <c r="C222" s="585"/>
      <c r="D222" s="585"/>
      <c r="E222" s="585"/>
      <c r="F222" s="585"/>
      <c r="G222" s="585"/>
      <c r="H222" s="585"/>
    </row>
    <row r="223" spans="1:12" ht="30" customHeight="1">
      <c r="A223" s="3"/>
      <c r="B223" s="3"/>
      <c r="C223" s="3"/>
      <c r="D223" s="3"/>
    </row>
    <row r="224" spans="1:12" ht="30" customHeight="1">
      <c r="A224" s="569" t="str">
        <f>"구분:"&amp;월기본급!$A$10&amp;"      직책:"&amp;월기본급!$B$10&amp;"      직종명:"&amp;월기본급!$D$10&amp;""</f>
        <v>구분:관리팀      직책:관리팀원      직종명:초급숙련기술자</v>
      </c>
      <c r="B224" s="69"/>
      <c r="C224" s="69"/>
      <c r="D224" s="69"/>
      <c r="E224" s="69"/>
      <c r="F224" s="432"/>
      <c r="G224" s="432"/>
      <c r="H224" s="422" t="s">
        <v>168</v>
      </c>
      <c r="I224" s="586">
        <f>월기본급!$H$18</f>
        <v>20.6</v>
      </c>
      <c r="J224" s="566" t="s">
        <v>212</v>
      </c>
    </row>
    <row r="225" spans="1:10" ht="30" customHeight="1">
      <c r="A225" s="1360" t="s">
        <v>113</v>
      </c>
      <c r="B225" s="1361"/>
      <c r="C225" s="1361"/>
      <c r="D225" s="1362"/>
      <c r="E225" s="1363" t="s">
        <v>155</v>
      </c>
      <c r="F225" s="1364"/>
      <c r="G225" s="423" t="s">
        <v>141</v>
      </c>
      <c r="H225" s="575" t="s">
        <v>154</v>
      </c>
    </row>
    <row r="226" spans="1:10" ht="30" customHeight="1">
      <c r="A226" s="1365" t="s">
        <v>318</v>
      </c>
      <c r="B226" s="1366"/>
      <c r="C226" s="1366"/>
      <c r="D226" s="1367"/>
      <c r="E226" s="442">
        <f>TRUNC(E227*8,0)</f>
        <v>120544</v>
      </c>
      <c r="F226" s="428"/>
      <c r="G226" s="520"/>
      <c r="H226" s="276" t="s">
        <v>140</v>
      </c>
    </row>
    <row r="227" spans="1:10" ht="30" customHeight="1">
      <c r="A227" s="1365" t="s">
        <v>319</v>
      </c>
      <c r="B227" s="1366"/>
      <c r="C227" s="1366"/>
      <c r="D227" s="1367"/>
      <c r="E227" s="442">
        <f>TRUNC(월기본급!$G$19+(E233/209),0)</f>
        <v>15068</v>
      </c>
      <c r="F227" s="428"/>
      <c r="G227" s="520"/>
      <c r="H227" s="276" t="s">
        <v>137</v>
      </c>
    </row>
    <row r="228" spans="1:10" ht="30" customHeight="1">
      <c r="A228" s="1365" t="s">
        <v>320</v>
      </c>
      <c r="B228" s="1366"/>
      <c r="C228" s="1366"/>
      <c r="D228" s="1367"/>
      <c r="E228" s="442">
        <f>월기본급!$I$10</f>
        <v>1966517</v>
      </c>
      <c r="F228" s="428"/>
      <c r="G228" s="520" t="str">
        <f>월기본급!$A$1&amp;" 참조"</f>
        <v>[ 표 : 8 ]  참조</v>
      </c>
      <c r="H228" s="276" t="s">
        <v>138</v>
      </c>
    </row>
    <row r="229" spans="1:10" ht="30" customHeight="1">
      <c r="A229" s="1356" t="s">
        <v>255</v>
      </c>
      <c r="B229" s="368"/>
      <c r="C229" s="425" t="s">
        <v>114</v>
      </c>
      <c r="D229" s="369"/>
      <c r="E229" s="442">
        <f>TRUNC(E226*15/12,0)</f>
        <v>150680</v>
      </c>
      <c r="F229" s="428"/>
      <c r="G229" s="520" t="s">
        <v>249</v>
      </c>
      <c r="H229" s="276" t="s">
        <v>139</v>
      </c>
    </row>
    <row r="230" spans="1:10" ht="30" customHeight="1">
      <c r="A230" s="1368"/>
      <c r="B230" s="368"/>
      <c r="C230" s="425" t="s">
        <v>251</v>
      </c>
      <c r="D230" s="369"/>
      <c r="E230" s="442">
        <f>TRUNC(E226*I230*150%)</f>
        <v>0</v>
      </c>
      <c r="F230" s="428"/>
      <c r="G230" s="520" t="s">
        <v>252</v>
      </c>
      <c r="H230" s="276" t="s">
        <v>214</v>
      </c>
      <c r="J230" s="566" t="s">
        <v>323</v>
      </c>
    </row>
    <row r="231" spans="1:10" ht="30" customHeight="1">
      <c r="A231" s="1368"/>
      <c r="B231" s="368"/>
      <c r="C231" s="425" t="s">
        <v>276</v>
      </c>
      <c r="D231" s="369"/>
      <c r="E231" s="442">
        <f>TRUNC(E226*I231*150%)</f>
        <v>325468</v>
      </c>
      <c r="F231" s="428"/>
      <c r="G231" s="520" t="s">
        <v>252</v>
      </c>
      <c r="H231" s="276" t="s">
        <v>247</v>
      </c>
      <c r="I231" s="565">
        <f>$K$5</f>
        <v>1.8</v>
      </c>
      <c r="J231" s="566" t="s">
        <v>324</v>
      </c>
    </row>
    <row r="232" spans="1:10" ht="30" customHeight="1">
      <c r="A232" s="1357"/>
      <c r="B232" s="368"/>
      <c r="C232" s="425" t="s">
        <v>115</v>
      </c>
      <c r="D232" s="369"/>
      <c r="E232" s="442">
        <f>SUM(E229:E231)</f>
        <v>476148</v>
      </c>
      <c r="F232" s="428"/>
      <c r="G232" s="577"/>
      <c r="H232" s="276"/>
    </row>
    <row r="233" spans="1:10" ht="30" customHeight="1">
      <c r="A233" s="1365" t="s">
        <v>321</v>
      </c>
      <c r="B233" s="1366"/>
      <c r="C233" s="1366"/>
      <c r="D233" s="1367"/>
      <c r="E233" s="442">
        <f>TRUNC(E228*$I$5/12,0)</f>
        <v>655505</v>
      </c>
      <c r="F233" s="428"/>
      <c r="G233" s="578"/>
      <c r="H233" s="276" t="s">
        <v>254</v>
      </c>
    </row>
    <row r="234" spans="1:10" ht="30" customHeight="1">
      <c r="A234" s="1365" t="s">
        <v>322</v>
      </c>
      <c r="B234" s="1366"/>
      <c r="C234" s="1366"/>
      <c r="D234" s="1367"/>
      <c r="E234" s="442">
        <f>TRUNC(SUM(E228,E232,E233)/12,0)</f>
        <v>258180</v>
      </c>
      <c r="F234" s="428"/>
      <c r="G234" s="578" t="s">
        <v>209</v>
      </c>
      <c r="H234" s="276" t="s">
        <v>267</v>
      </c>
    </row>
    <row r="235" spans="1:10" ht="30" customHeight="1">
      <c r="A235" s="1360" t="s">
        <v>116</v>
      </c>
      <c r="B235" s="1361"/>
      <c r="C235" s="1361"/>
      <c r="D235" s="1362"/>
      <c r="E235" s="442">
        <f>SUM(E228,E232,E233,E234)</f>
        <v>3356350</v>
      </c>
      <c r="F235" s="428"/>
      <c r="G235" s="442"/>
      <c r="H235" s="22"/>
    </row>
    <row r="236" spans="1:10" ht="30" customHeight="1">
      <c r="A236" s="25" t="str">
        <f>"주 1) 통상일급 : 통상시간급 × 8시간"</f>
        <v>주 1) 통상일급 : 통상시간급 × 8시간</v>
      </c>
      <c r="B236" s="25"/>
      <c r="C236" s="25"/>
      <c r="D236" s="25"/>
      <c r="E236" s="431"/>
      <c r="F236" s="431"/>
      <c r="G236" s="431"/>
      <c r="H236" s="431"/>
    </row>
    <row r="237" spans="1:10" ht="30" customHeight="1">
      <c r="A237" s="25" t="s">
        <v>326</v>
      </c>
      <c r="B237" s="433"/>
      <c r="C237" s="433"/>
      <c r="D237" s="433"/>
      <c r="E237" s="432"/>
      <c r="F237" s="432"/>
      <c r="G237" s="277"/>
      <c r="H237" s="277"/>
    </row>
    <row r="238" spans="1:10" ht="30" customHeight="1">
      <c r="A238" s="579" t="s">
        <v>746</v>
      </c>
      <c r="B238" s="12"/>
      <c r="C238" s="12"/>
      <c r="D238" s="12"/>
      <c r="G238" s="58"/>
      <c r="H238" s="58"/>
    </row>
    <row r="239" spans="1:10" ht="30" customHeight="1">
      <c r="A239" s="25" t="str">
        <f>"   3) 기본급 : "&amp;월기본급!$A$1&amp;월기본급!$A$2&amp;" 참조"</f>
        <v xml:space="preserve">   3) 기본급 : [ 표 : 8 ] 월(M/M)당기본급산출표 참조</v>
      </c>
      <c r="B239" s="25"/>
      <c r="C239" s="25"/>
      <c r="D239" s="25"/>
      <c r="E239" s="583"/>
      <c r="F239" s="583"/>
      <c r="G239" s="583"/>
      <c r="H239" s="583"/>
    </row>
    <row r="240" spans="1:10" ht="30" customHeight="1">
      <c r="A240" s="582" t="str">
        <f>"   4) 년차수당 : "&amp;FIXED(E226,0)&amp;"(통상일급) × 15일/년 ÷ 12개월"</f>
        <v xml:space="preserve">   4) 년차수당 : 120,544(통상일급) × 15일/년 ÷ 12개월</v>
      </c>
      <c r="B240" s="25"/>
      <c r="C240" s="25"/>
      <c r="D240" s="25"/>
      <c r="E240" s="583"/>
      <c r="F240" s="583"/>
      <c r="G240" s="583"/>
      <c r="H240" s="583"/>
    </row>
    <row r="241" spans="1:14" ht="30" customHeight="1">
      <c r="A241" s="69" t="str">
        <f>"   5) 연장근로수당 : "&amp;FIXED(E226,0)&amp;"(통상일급) × "&amp;I230&amp;"일(연장근로일수) × 150%"</f>
        <v xml:space="preserve">   5) 연장근로수당 : 120,544(통상일급) × 일(연장근로일수) × 150%</v>
      </c>
      <c r="B241" s="25"/>
      <c r="C241" s="25"/>
      <c r="D241" s="25"/>
      <c r="E241" s="583"/>
      <c r="F241" s="583"/>
      <c r="G241" s="583"/>
      <c r="H241" s="583"/>
    </row>
    <row r="242" spans="1:14" ht="30" customHeight="1">
      <c r="A242" s="69" t="str">
        <f>"   6) 휴일근로수당 : "&amp;FIXED(E226,0)&amp;"(통상일급) × "&amp;I231&amp;"일(휴일근로일수) × 150%"</f>
        <v xml:space="preserve">   6) 휴일근로수당 : 120,544(통상일급) × 1.8일(휴일근로일수) × 150%</v>
      </c>
      <c r="G242" s="58"/>
      <c r="H242" s="58"/>
    </row>
    <row r="243" spans="1:14" ht="30" customHeight="1">
      <c r="A243" s="582" t="str">
        <f>"   7) 상여금 : "&amp;FIXED(E228,0)&amp;"(기본급) × "&amp;$I$5&amp;"개월(년 "&amp;$I$5*100&amp;"% 적용) ÷ 12개월"</f>
        <v xml:space="preserve">   7) 상여금 : 1,966,517(기본급) × 4개월(년 400% 적용) ÷ 12개월</v>
      </c>
      <c r="G243" s="58"/>
      <c r="H243" s="58"/>
    </row>
    <row r="244" spans="1:14" ht="30" customHeight="1">
      <c r="A244" s="582" t="str">
        <f>"   8) 퇴직급여충당금 : {"&amp;FIXED(E228,0)&amp;"(기본급)+"&amp;FIXED(E232,0)&amp;"(제수당)+"&amp;FIXED(E233,0)&amp;"(상여금)} ÷ 12개월"</f>
        <v xml:space="preserve">   8) 퇴직급여충당금 : {1,966,517(기본급)+476,148(제수당)+655,505(상여금)} ÷ 12개월</v>
      </c>
      <c r="B244" s="585"/>
      <c r="C244" s="585"/>
      <c r="D244" s="585"/>
      <c r="E244" s="585"/>
      <c r="F244" s="585"/>
      <c r="G244" s="585"/>
      <c r="H244" s="585"/>
    </row>
    <row r="245" spans="1:14" ht="30" customHeight="1">
      <c r="A245" s="3"/>
      <c r="B245" s="3"/>
      <c r="C245" s="3"/>
      <c r="D245" s="3"/>
    </row>
    <row r="246" spans="1:14" ht="20.100000000000001" customHeight="1">
      <c r="A246" s="569" t="str">
        <f>"구분:"&amp;월기본급!$A$19&amp;"      직책:"&amp;월기본급!$B$19&amp;"      직종명:"&amp;월기본급!$D$19&amp;""</f>
        <v>구분:운영팀      직책:전기담당      직종명:초급숙련기술자</v>
      </c>
      <c r="B246" s="69"/>
      <c r="C246" s="69"/>
      <c r="D246" s="69"/>
      <c r="E246" s="69"/>
      <c r="F246" s="432"/>
      <c r="G246" s="432"/>
      <c r="H246" s="422" t="s">
        <v>168</v>
      </c>
      <c r="I246" s="586">
        <f>월기본급!$H$18</f>
        <v>20.6</v>
      </c>
      <c r="J246" s="566" t="s">
        <v>212</v>
      </c>
      <c r="K246" s="587"/>
      <c r="L246" s="573"/>
      <c r="M246" s="573"/>
      <c r="N246" s="573"/>
    </row>
    <row r="247" spans="1:14" ht="39.950000000000003" customHeight="1">
      <c r="A247" s="1360" t="s">
        <v>113</v>
      </c>
      <c r="B247" s="1361"/>
      <c r="C247" s="1361"/>
      <c r="D247" s="1362"/>
      <c r="E247" s="1363" t="s">
        <v>155</v>
      </c>
      <c r="F247" s="1364"/>
      <c r="G247" s="423" t="s">
        <v>141</v>
      </c>
      <c r="H247" s="575" t="s">
        <v>154</v>
      </c>
      <c r="K247" s="588"/>
    </row>
    <row r="248" spans="1:14" ht="30" customHeight="1">
      <c r="A248" s="1365" t="s">
        <v>318</v>
      </c>
      <c r="B248" s="1366"/>
      <c r="C248" s="1366"/>
      <c r="D248" s="1367"/>
      <c r="E248" s="442">
        <f>TRUNC(E249*8,0)</f>
        <v>120544</v>
      </c>
      <c r="F248" s="428"/>
      <c r="G248" s="520"/>
      <c r="H248" s="276" t="s">
        <v>140</v>
      </c>
    </row>
    <row r="249" spans="1:14" ht="30" customHeight="1">
      <c r="A249" s="1365" t="s">
        <v>319</v>
      </c>
      <c r="B249" s="1366"/>
      <c r="C249" s="1366"/>
      <c r="D249" s="1367"/>
      <c r="E249" s="442">
        <f>TRUNC(월기본급!$G$19+(E255/209),0)</f>
        <v>15068</v>
      </c>
      <c r="F249" s="428"/>
      <c r="G249" s="520"/>
      <c r="H249" s="276" t="s">
        <v>137</v>
      </c>
    </row>
    <row r="250" spans="1:14" ht="30" customHeight="1">
      <c r="A250" s="1365" t="s">
        <v>320</v>
      </c>
      <c r="B250" s="1366"/>
      <c r="C250" s="1366"/>
      <c r="D250" s="1367"/>
      <c r="E250" s="442">
        <f>월기본급!$I$19</f>
        <v>1966517</v>
      </c>
      <c r="F250" s="428"/>
      <c r="G250" s="520" t="str">
        <f>월기본급!$A$1&amp;" 참조"</f>
        <v>[ 표 : 8 ]  참조</v>
      </c>
      <c r="H250" s="276" t="s">
        <v>138</v>
      </c>
    </row>
    <row r="251" spans="1:14" ht="30" customHeight="1">
      <c r="A251" s="1356" t="s">
        <v>255</v>
      </c>
      <c r="B251" s="368"/>
      <c r="C251" s="425" t="s">
        <v>114</v>
      </c>
      <c r="D251" s="369"/>
      <c r="E251" s="442">
        <f>TRUNC(E248*15/12,0)</f>
        <v>150680</v>
      </c>
      <c r="F251" s="428"/>
      <c r="G251" s="520" t="s">
        <v>249</v>
      </c>
      <c r="H251" s="276" t="s">
        <v>139</v>
      </c>
      <c r="M251" s="317"/>
    </row>
    <row r="252" spans="1:14" ht="30" customHeight="1">
      <c r="A252" s="1368"/>
      <c r="B252" s="368"/>
      <c r="C252" s="425" t="s">
        <v>251</v>
      </c>
      <c r="D252" s="369"/>
      <c r="E252" s="442">
        <f>TRUNC(E248*I252*150%)</f>
        <v>0</v>
      </c>
      <c r="F252" s="428"/>
      <c r="G252" s="520" t="s">
        <v>252</v>
      </c>
      <c r="H252" s="276" t="s">
        <v>214</v>
      </c>
      <c r="J252" s="566" t="s">
        <v>323</v>
      </c>
      <c r="L252" s="62"/>
      <c r="M252" s="317"/>
    </row>
    <row r="253" spans="1:14" ht="30" customHeight="1">
      <c r="A253" s="1368"/>
      <c r="B253" s="368"/>
      <c r="C253" s="425" t="s">
        <v>276</v>
      </c>
      <c r="D253" s="369"/>
      <c r="E253" s="442">
        <f>TRUNC(E248*I253*150%)</f>
        <v>325468</v>
      </c>
      <c r="F253" s="428"/>
      <c r="G253" s="520" t="s">
        <v>252</v>
      </c>
      <c r="H253" s="276" t="s">
        <v>247</v>
      </c>
      <c r="I253" s="565">
        <f>$K$5</f>
        <v>1.8</v>
      </c>
      <c r="J253" s="566" t="s">
        <v>324</v>
      </c>
      <c r="L253" s="62"/>
    </row>
    <row r="254" spans="1:14" ht="30" customHeight="1">
      <c r="A254" s="1357"/>
      <c r="B254" s="368"/>
      <c r="C254" s="425" t="s">
        <v>115</v>
      </c>
      <c r="D254" s="369"/>
      <c r="E254" s="442">
        <f>SUM(E251:E253)</f>
        <v>476148</v>
      </c>
      <c r="F254" s="428"/>
      <c r="G254" s="577"/>
      <c r="H254" s="276"/>
    </row>
    <row r="255" spans="1:14" ht="30" customHeight="1">
      <c r="A255" s="1365" t="s">
        <v>321</v>
      </c>
      <c r="B255" s="1366"/>
      <c r="C255" s="1366"/>
      <c r="D255" s="1367"/>
      <c r="E255" s="442">
        <f>TRUNC(E250*$I$5/12,0)</f>
        <v>655505</v>
      </c>
      <c r="F255" s="428"/>
      <c r="G255" s="578"/>
      <c r="H255" s="276" t="s">
        <v>254</v>
      </c>
    </row>
    <row r="256" spans="1:14" ht="30" customHeight="1">
      <c r="A256" s="1365" t="s">
        <v>322</v>
      </c>
      <c r="B256" s="1366"/>
      <c r="C256" s="1366"/>
      <c r="D256" s="1367"/>
      <c r="E256" s="442">
        <f>TRUNC(SUM(E250,E254,E255)/12,0)</f>
        <v>258180</v>
      </c>
      <c r="F256" s="428"/>
      <c r="G256" s="578" t="s">
        <v>209</v>
      </c>
      <c r="H256" s="276" t="s">
        <v>267</v>
      </c>
    </row>
    <row r="257" spans="1:14" ht="30" customHeight="1">
      <c r="A257" s="1360" t="s">
        <v>116</v>
      </c>
      <c r="B257" s="1361"/>
      <c r="C257" s="1361"/>
      <c r="D257" s="1362"/>
      <c r="E257" s="442">
        <f>SUM(E250,E254,E255,E256)</f>
        <v>3356350</v>
      </c>
      <c r="F257" s="428"/>
      <c r="G257" s="442"/>
      <c r="H257" s="22"/>
    </row>
    <row r="258" spans="1:14" s="433" customFormat="1" ht="30" customHeight="1">
      <c r="A258" s="25" t="str">
        <f>"주 1) 통상일급 : 통상시간급 × 8시간"</f>
        <v>주 1) 통상일급 : 통상시간급 × 8시간</v>
      </c>
      <c r="B258" s="25"/>
      <c r="C258" s="25"/>
      <c r="D258" s="25"/>
      <c r="E258" s="431"/>
      <c r="F258" s="431"/>
      <c r="G258" s="431"/>
      <c r="H258" s="431"/>
      <c r="I258" s="580"/>
      <c r="J258" s="581"/>
      <c r="K258" s="580"/>
    </row>
    <row r="259" spans="1:14" s="433" customFormat="1" ht="30" customHeight="1">
      <c r="A259" s="25" t="s">
        <v>326</v>
      </c>
      <c r="E259" s="432"/>
      <c r="F259" s="432"/>
      <c r="G259" s="277"/>
      <c r="H259" s="277"/>
      <c r="I259" s="580"/>
      <c r="J259" s="581"/>
      <c r="K259" s="580"/>
    </row>
    <row r="260" spans="1:14" ht="29.1" customHeight="1">
      <c r="A260" s="579" t="s">
        <v>746</v>
      </c>
      <c r="B260" s="12"/>
      <c r="C260" s="12"/>
      <c r="D260" s="12"/>
      <c r="G260" s="58"/>
      <c r="H260" s="58"/>
    </row>
    <row r="261" spans="1:14" s="433" customFormat="1" ht="30" customHeight="1">
      <c r="A261" s="25" t="str">
        <f>"   3) 기본급 : "&amp;월기본급!$A$1&amp;월기본급!$A$2&amp;" 참조"</f>
        <v xml:space="preserve">   3) 기본급 : [ 표 : 8 ] 월(M/M)당기본급산출표 참조</v>
      </c>
      <c r="B261" s="25"/>
      <c r="C261" s="25"/>
      <c r="D261" s="25"/>
      <c r="E261" s="583"/>
      <c r="F261" s="583"/>
      <c r="G261" s="583"/>
      <c r="H261" s="583"/>
      <c r="I261" s="584"/>
      <c r="J261" s="584"/>
      <c r="K261" s="580"/>
      <c r="L261" s="582"/>
    </row>
    <row r="262" spans="1:14" s="433" customFormat="1" ht="30" customHeight="1">
      <c r="A262" s="582" t="str">
        <f>"   4) 년차수당 : "&amp;FIXED(E248,0)&amp;"(통상일급) × 15일/년 ÷ 12개월"</f>
        <v xml:space="preserve">   4) 년차수당 : 120,544(통상일급) × 15일/년 ÷ 12개월</v>
      </c>
      <c r="B262" s="25"/>
      <c r="C262" s="25"/>
      <c r="D262" s="25"/>
      <c r="E262" s="583"/>
      <c r="F262" s="583"/>
      <c r="G262" s="583"/>
      <c r="H262" s="583"/>
      <c r="I262" s="584"/>
      <c r="J262" s="584"/>
      <c r="K262" s="580"/>
      <c r="L262" s="582"/>
    </row>
    <row r="263" spans="1:14" s="433" customFormat="1" ht="30" customHeight="1">
      <c r="A263" s="69" t="str">
        <f>"   5) 연장근로수당 : "&amp;FIXED(E248,0)&amp;"(통상일급) × "&amp;I252&amp;"일(연장근로일수) × 150%"</f>
        <v xml:space="preserve">   5) 연장근로수당 : 120,544(통상일급) × 일(연장근로일수) × 150%</v>
      </c>
      <c r="B263" s="25"/>
      <c r="C263" s="25"/>
      <c r="D263" s="25"/>
      <c r="E263" s="583"/>
      <c r="F263" s="583"/>
      <c r="G263" s="583"/>
      <c r="H263" s="583"/>
      <c r="I263" s="584"/>
      <c r="J263" s="584"/>
      <c r="K263" s="580"/>
      <c r="L263" s="582"/>
    </row>
    <row r="264" spans="1:14" ht="30" customHeight="1">
      <c r="A264" s="69" t="str">
        <f>"   6) 휴일근로수당 : "&amp;FIXED(E248,0)&amp;"(통상일급) × "&amp;I253&amp;"일(휴일근로일수) × 150%"</f>
        <v xml:space="preserve">   6) 휴일근로수당 : 120,544(통상일급) × 1.8일(휴일근로일수) × 150%</v>
      </c>
      <c r="G264" s="58"/>
      <c r="H264" s="58"/>
      <c r="I264" s="12"/>
      <c r="J264" s="69"/>
      <c r="K264" s="12"/>
    </row>
    <row r="265" spans="1:14" ht="30" customHeight="1">
      <c r="A265" s="582" t="str">
        <f>"   7) 상여금 : "&amp;FIXED(E250,0)&amp;"(기본급) × "&amp;$I$5&amp;"개월(년 "&amp;$I$5*100&amp;"% 적용) ÷ 12개월"</f>
        <v xml:space="preserve">   7) 상여금 : 1,966,517(기본급) × 4개월(년 400% 적용) ÷ 12개월</v>
      </c>
      <c r="G265" s="58"/>
      <c r="H265" s="58"/>
    </row>
    <row r="266" spans="1:14" ht="30" customHeight="1">
      <c r="A266" s="582" t="str">
        <f>"   8) 퇴직급여충당금 : {"&amp;FIXED(E250,0)&amp;"(기본급)+"&amp;FIXED(E254,0)&amp;"(제수당)+"&amp;FIXED(E255,0)&amp;"(상여금)} ÷ 12개월"</f>
        <v xml:space="preserve">   8) 퇴직급여충당금 : {1,966,517(기본급)+476,148(제수당)+655,505(상여금)} ÷ 12개월</v>
      </c>
      <c r="B266" s="585"/>
      <c r="C266" s="585"/>
      <c r="D266" s="585"/>
      <c r="E266" s="585"/>
      <c r="F266" s="585"/>
      <c r="G266" s="585"/>
      <c r="H266" s="585"/>
    </row>
    <row r="267" spans="1:14" ht="30" customHeight="1">
      <c r="A267" s="3"/>
      <c r="B267" s="3"/>
      <c r="C267" s="3"/>
      <c r="D267" s="3"/>
    </row>
    <row r="268" spans="1:14" ht="20.100000000000001" customHeight="1">
      <c r="A268" s="569" t="str">
        <f>"구분:"&amp;월기본급!$A$20&amp;"      직책:"&amp;월기본급!$B$20&amp;"      직종명:"&amp;월기본급!$D$20&amp;""</f>
        <v>구분:운영팀      직책:기계담당      직종명:초급숙련기술자</v>
      </c>
      <c r="B268" s="69"/>
      <c r="C268" s="69"/>
      <c r="D268" s="69"/>
      <c r="E268" s="69"/>
      <c r="F268" s="432"/>
      <c r="G268" s="432"/>
      <c r="H268" s="422" t="s">
        <v>168</v>
      </c>
      <c r="I268" s="586">
        <f>월기본급!$H$24</f>
        <v>20.6</v>
      </c>
      <c r="J268" s="566" t="s">
        <v>212</v>
      </c>
      <c r="K268" s="587"/>
      <c r="L268" s="573"/>
      <c r="M268" s="573"/>
      <c r="N268" s="573"/>
    </row>
    <row r="269" spans="1:14" ht="39.950000000000003" customHeight="1">
      <c r="A269" s="1360" t="s">
        <v>113</v>
      </c>
      <c r="B269" s="1361"/>
      <c r="C269" s="1361"/>
      <c r="D269" s="1362"/>
      <c r="E269" s="1363" t="s">
        <v>155</v>
      </c>
      <c r="F269" s="1364"/>
      <c r="G269" s="423" t="s">
        <v>141</v>
      </c>
      <c r="H269" s="575" t="s">
        <v>154</v>
      </c>
      <c r="K269" s="588"/>
    </row>
    <row r="270" spans="1:14" ht="30" customHeight="1">
      <c r="A270" s="1365" t="s">
        <v>318</v>
      </c>
      <c r="B270" s="1366"/>
      <c r="C270" s="1366"/>
      <c r="D270" s="1367"/>
      <c r="E270" s="442">
        <f>TRUNC(E271*8,0)</f>
        <v>120544</v>
      </c>
      <c r="F270" s="428"/>
      <c r="G270" s="520"/>
      <c r="H270" s="276" t="s">
        <v>140</v>
      </c>
    </row>
    <row r="271" spans="1:14" ht="30" customHeight="1">
      <c r="A271" s="1365" t="s">
        <v>319</v>
      </c>
      <c r="B271" s="1366"/>
      <c r="C271" s="1366"/>
      <c r="D271" s="1367"/>
      <c r="E271" s="442">
        <f>TRUNC(월기본급!$G$20+(E277/209),0)</f>
        <v>15068</v>
      </c>
      <c r="F271" s="428"/>
      <c r="G271" s="520"/>
      <c r="H271" s="276" t="s">
        <v>137</v>
      </c>
    </row>
    <row r="272" spans="1:14" ht="30" customHeight="1">
      <c r="A272" s="1365" t="s">
        <v>320</v>
      </c>
      <c r="B272" s="1366"/>
      <c r="C272" s="1366"/>
      <c r="D272" s="1367"/>
      <c r="E272" s="442">
        <f>월기본급!$I$20</f>
        <v>1966517</v>
      </c>
      <c r="F272" s="428"/>
      <c r="G272" s="520" t="str">
        <f>월기본급!$A$1&amp;" 참조"</f>
        <v>[ 표 : 8 ]  참조</v>
      </c>
      <c r="H272" s="276" t="s">
        <v>138</v>
      </c>
    </row>
    <row r="273" spans="1:13" ht="30" customHeight="1">
      <c r="A273" s="1356" t="s">
        <v>255</v>
      </c>
      <c r="B273" s="368"/>
      <c r="C273" s="425" t="s">
        <v>114</v>
      </c>
      <c r="D273" s="369"/>
      <c r="E273" s="442">
        <f>TRUNC(E270*15/12,0)</f>
        <v>150680</v>
      </c>
      <c r="F273" s="428"/>
      <c r="G273" s="520" t="s">
        <v>249</v>
      </c>
      <c r="H273" s="276" t="s">
        <v>139</v>
      </c>
      <c r="M273" s="317"/>
    </row>
    <row r="274" spans="1:13" ht="30" customHeight="1">
      <c r="A274" s="1368"/>
      <c r="B274" s="368"/>
      <c r="C274" s="425" t="s">
        <v>251</v>
      </c>
      <c r="D274" s="369"/>
      <c r="E274" s="442">
        <f>TRUNC(E270*I274*150%)</f>
        <v>0</v>
      </c>
      <c r="F274" s="428"/>
      <c r="G274" s="520" t="s">
        <v>252</v>
      </c>
      <c r="H274" s="276" t="s">
        <v>214</v>
      </c>
      <c r="J274" s="566" t="s">
        <v>323</v>
      </c>
      <c r="L274" s="62"/>
      <c r="M274" s="317"/>
    </row>
    <row r="275" spans="1:13" ht="30" customHeight="1">
      <c r="A275" s="1368"/>
      <c r="B275" s="368"/>
      <c r="C275" s="425" t="s">
        <v>276</v>
      </c>
      <c r="D275" s="369"/>
      <c r="E275" s="442">
        <f>TRUNC(E270*I275*150%)</f>
        <v>325468</v>
      </c>
      <c r="F275" s="428"/>
      <c r="G275" s="520" t="s">
        <v>252</v>
      </c>
      <c r="H275" s="276" t="s">
        <v>247</v>
      </c>
      <c r="I275" s="565">
        <f>$K$5</f>
        <v>1.8</v>
      </c>
      <c r="J275" s="566" t="s">
        <v>324</v>
      </c>
      <c r="L275" s="62"/>
    </row>
    <row r="276" spans="1:13" ht="30" customHeight="1">
      <c r="A276" s="1357"/>
      <c r="B276" s="368"/>
      <c r="C276" s="425" t="s">
        <v>115</v>
      </c>
      <c r="D276" s="369"/>
      <c r="E276" s="442">
        <f>SUM(E273:E275)</f>
        <v>476148</v>
      </c>
      <c r="F276" s="428"/>
      <c r="G276" s="577"/>
      <c r="H276" s="276"/>
    </row>
    <row r="277" spans="1:13" ht="30" customHeight="1">
      <c r="A277" s="1365" t="s">
        <v>321</v>
      </c>
      <c r="B277" s="1366"/>
      <c r="C277" s="1366"/>
      <c r="D277" s="1367"/>
      <c r="E277" s="442">
        <f>TRUNC(E272*$I$5/12,0)</f>
        <v>655505</v>
      </c>
      <c r="F277" s="428"/>
      <c r="G277" s="578"/>
      <c r="H277" s="276" t="s">
        <v>254</v>
      </c>
    </row>
    <row r="278" spans="1:13" ht="30" customHeight="1">
      <c r="A278" s="1365" t="s">
        <v>322</v>
      </c>
      <c r="B278" s="1366"/>
      <c r="C278" s="1366"/>
      <c r="D278" s="1367"/>
      <c r="E278" s="442">
        <f>TRUNC(SUM(E272,E276,E277)/12,0)</f>
        <v>258180</v>
      </c>
      <c r="F278" s="428"/>
      <c r="G278" s="578" t="s">
        <v>209</v>
      </c>
      <c r="H278" s="276" t="s">
        <v>267</v>
      </c>
    </row>
    <row r="279" spans="1:13" ht="30" customHeight="1">
      <c r="A279" s="1360" t="s">
        <v>116</v>
      </c>
      <c r="B279" s="1361"/>
      <c r="C279" s="1361"/>
      <c r="D279" s="1362"/>
      <c r="E279" s="442">
        <f>SUM(E272,E276,E277,E278)</f>
        <v>3356350</v>
      </c>
      <c r="F279" s="428"/>
      <c r="G279" s="442"/>
      <c r="H279" s="22"/>
    </row>
    <row r="280" spans="1:13" s="433" customFormat="1" ht="30" customHeight="1">
      <c r="A280" s="25" t="str">
        <f>"주 1) 통상일급 : 통상시간급 × 8시간"</f>
        <v>주 1) 통상일급 : 통상시간급 × 8시간</v>
      </c>
      <c r="B280" s="25"/>
      <c r="C280" s="25"/>
      <c r="D280" s="25"/>
      <c r="E280" s="431"/>
      <c r="F280" s="431"/>
      <c r="G280" s="431"/>
      <c r="H280" s="431"/>
      <c r="I280" s="580"/>
      <c r="J280" s="581"/>
      <c r="K280" s="580"/>
    </row>
    <row r="281" spans="1:13" s="433" customFormat="1" ht="30" customHeight="1">
      <c r="A281" s="25" t="s">
        <v>326</v>
      </c>
      <c r="E281" s="432"/>
      <c r="F281" s="432"/>
      <c r="G281" s="277"/>
      <c r="H281" s="277"/>
      <c r="I281" s="580"/>
      <c r="J281" s="581"/>
      <c r="K281" s="580"/>
    </row>
    <row r="282" spans="1:13" ht="29.1" customHeight="1">
      <c r="A282" s="579" t="s">
        <v>746</v>
      </c>
      <c r="B282" s="12"/>
      <c r="C282" s="12"/>
      <c r="D282" s="12"/>
      <c r="G282" s="58"/>
      <c r="H282" s="58"/>
    </row>
    <row r="283" spans="1:13" s="433" customFormat="1" ht="30" customHeight="1">
      <c r="A283" s="25" t="str">
        <f>"   3) 기본급 : "&amp;월기본급!$A$1&amp;월기본급!$A$2&amp;" 참조"</f>
        <v xml:space="preserve">   3) 기본급 : [ 표 : 8 ] 월(M/M)당기본급산출표 참조</v>
      </c>
      <c r="B283" s="25"/>
      <c r="C283" s="25"/>
      <c r="D283" s="25"/>
      <c r="E283" s="583"/>
      <c r="F283" s="583"/>
      <c r="G283" s="583"/>
      <c r="H283" s="583"/>
      <c r="I283" s="584"/>
      <c r="J283" s="584"/>
      <c r="K283" s="580"/>
      <c r="L283" s="582"/>
    </row>
    <row r="284" spans="1:13" s="433" customFormat="1" ht="30" customHeight="1">
      <c r="A284" s="582" t="str">
        <f>"   4) 년차수당 : "&amp;FIXED(E270,0)&amp;"(통상일급) × 15일/년 ÷ 12개월"</f>
        <v xml:space="preserve">   4) 년차수당 : 120,544(통상일급) × 15일/년 ÷ 12개월</v>
      </c>
      <c r="B284" s="25"/>
      <c r="C284" s="25"/>
      <c r="D284" s="25"/>
      <c r="E284" s="583"/>
      <c r="F284" s="583"/>
      <c r="G284" s="583"/>
      <c r="H284" s="583"/>
      <c r="I284" s="584"/>
      <c r="J284" s="584"/>
      <c r="K284" s="580"/>
      <c r="L284" s="582"/>
    </row>
    <row r="285" spans="1:13" s="433" customFormat="1" ht="30" customHeight="1">
      <c r="A285" s="69" t="str">
        <f>"   5) 연장근로수당 : "&amp;FIXED(E270,0)&amp;"(통상일급) × "&amp;I274&amp;"일(연장근로일수) × 150%"</f>
        <v xml:space="preserve">   5) 연장근로수당 : 120,544(통상일급) × 일(연장근로일수) × 150%</v>
      </c>
      <c r="B285" s="25"/>
      <c r="C285" s="25"/>
      <c r="D285" s="25"/>
      <c r="E285" s="583"/>
      <c r="F285" s="583"/>
      <c r="G285" s="583"/>
      <c r="H285" s="583"/>
      <c r="I285" s="584"/>
      <c r="J285" s="584"/>
      <c r="K285" s="580"/>
      <c r="L285" s="582"/>
    </row>
    <row r="286" spans="1:13" ht="30" customHeight="1">
      <c r="A286" s="69" t="str">
        <f>"   6) 휴일근로수당 : "&amp;FIXED(E270,0)&amp;"(통상일급) × "&amp;I275&amp;"일(휴일근로일수) × 150%"</f>
        <v xml:space="preserve">   6) 휴일근로수당 : 120,544(통상일급) × 1.8일(휴일근로일수) × 150%</v>
      </c>
      <c r="B286" s="12"/>
      <c r="C286" s="12"/>
      <c r="D286" s="12"/>
      <c r="G286" s="58"/>
      <c r="H286" s="58"/>
      <c r="I286" s="12"/>
      <c r="J286" s="69"/>
      <c r="K286" s="12"/>
    </row>
    <row r="287" spans="1:13" ht="30" customHeight="1">
      <c r="A287" s="582" t="str">
        <f>"   7) 상여금 : "&amp;FIXED(E272,0)&amp;"(기본급) × "&amp;$I$5&amp;"개월(년 "&amp;$I$5*100&amp;"% 적용) ÷ 12개월"</f>
        <v xml:space="preserve">   7) 상여금 : 1,966,517(기본급) × 4개월(년 400% 적용) ÷ 12개월</v>
      </c>
      <c r="B287" s="12"/>
      <c r="C287" s="12"/>
      <c r="D287" s="12"/>
      <c r="G287" s="58"/>
      <c r="H287" s="58"/>
    </row>
    <row r="288" spans="1:13" ht="30" customHeight="1">
      <c r="A288" s="582" t="str">
        <f>"   8) 퇴직급여충당금 : {"&amp;FIXED(E272,0)&amp;"(기본급)+"&amp;FIXED(E276,0)&amp;"(제수당)+"&amp;FIXED(E277,0)&amp;"(상여금)} ÷ 12개월"</f>
        <v xml:space="preserve">   8) 퇴직급여충당금 : {1,966,517(기본급)+476,148(제수당)+655,505(상여금)} ÷ 12개월</v>
      </c>
      <c r="B288" s="585"/>
      <c r="C288" s="585"/>
      <c r="D288" s="585"/>
      <c r="E288" s="585"/>
      <c r="F288" s="585"/>
      <c r="G288" s="585"/>
      <c r="H288" s="585"/>
    </row>
    <row r="289" spans="1:10" ht="30" customHeight="1">
      <c r="A289" s="582"/>
      <c r="B289" s="585"/>
      <c r="C289" s="585"/>
      <c r="D289" s="585"/>
      <c r="E289" s="585"/>
      <c r="F289" s="585"/>
      <c r="G289" s="585"/>
      <c r="H289" s="585"/>
    </row>
    <row r="290" spans="1:10" ht="30" customHeight="1">
      <c r="A290" s="569" t="str">
        <f>"구분:"&amp;월기본급!$A$21&amp;"      직책:"&amp;월기본급!$B$21&amp;"      직종명:"&amp;월기본급!$D$21&amp;""</f>
        <v>구분:환경팀      직책:환경팀장      직종명:초급숙련기술자</v>
      </c>
      <c r="B290" s="69"/>
      <c r="C290" s="69"/>
      <c r="D290" s="69"/>
      <c r="E290" s="69"/>
      <c r="F290" s="432"/>
      <c r="G290" s="432"/>
      <c r="H290" s="422" t="s">
        <v>168</v>
      </c>
      <c r="I290" s="586">
        <f>월기본급!$H$24</f>
        <v>20.6</v>
      </c>
      <c r="J290" s="566" t="s">
        <v>212</v>
      </c>
    </row>
    <row r="291" spans="1:10" ht="30" customHeight="1">
      <c r="A291" s="1360" t="s">
        <v>113</v>
      </c>
      <c r="B291" s="1361"/>
      <c r="C291" s="1361"/>
      <c r="D291" s="1362"/>
      <c r="E291" s="1363" t="s">
        <v>155</v>
      </c>
      <c r="F291" s="1364"/>
      <c r="G291" s="423" t="s">
        <v>141</v>
      </c>
      <c r="H291" s="575" t="s">
        <v>154</v>
      </c>
    </row>
    <row r="292" spans="1:10" ht="30" customHeight="1">
      <c r="A292" s="1365" t="s">
        <v>318</v>
      </c>
      <c r="B292" s="1366"/>
      <c r="C292" s="1366"/>
      <c r="D292" s="1367"/>
      <c r="E292" s="442">
        <f>TRUNC(E293*8,0)</f>
        <v>120544</v>
      </c>
      <c r="F292" s="428"/>
      <c r="G292" s="520"/>
      <c r="H292" s="276" t="s">
        <v>140</v>
      </c>
    </row>
    <row r="293" spans="1:10" ht="30" customHeight="1">
      <c r="A293" s="1365" t="s">
        <v>319</v>
      </c>
      <c r="B293" s="1366"/>
      <c r="C293" s="1366"/>
      <c r="D293" s="1367"/>
      <c r="E293" s="442">
        <f>TRUNC(월기본급!$G$20+(E299/209),0)</f>
        <v>15068</v>
      </c>
      <c r="F293" s="428"/>
      <c r="G293" s="520"/>
      <c r="H293" s="276" t="s">
        <v>137</v>
      </c>
    </row>
    <row r="294" spans="1:10" ht="30" customHeight="1">
      <c r="A294" s="1365" t="s">
        <v>320</v>
      </c>
      <c r="B294" s="1366"/>
      <c r="C294" s="1366"/>
      <c r="D294" s="1367"/>
      <c r="E294" s="442">
        <f>월기본급!$I$21</f>
        <v>1966517</v>
      </c>
      <c r="F294" s="428"/>
      <c r="G294" s="520" t="str">
        <f>월기본급!$A$1&amp;" 참조"</f>
        <v>[ 표 : 8 ]  참조</v>
      </c>
      <c r="H294" s="276" t="s">
        <v>138</v>
      </c>
    </row>
    <row r="295" spans="1:10" ht="30" customHeight="1">
      <c r="A295" s="1356" t="s">
        <v>255</v>
      </c>
      <c r="B295" s="368"/>
      <c r="C295" s="425" t="s">
        <v>114</v>
      </c>
      <c r="D295" s="369"/>
      <c r="E295" s="442">
        <f>TRUNC(E292*15/12,0)</f>
        <v>150680</v>
      </c>
      <c r="F295" s="428"/>
      <c r="G295" s="520" t="s">
        <v>249</v>
      </c>
      <c r="H295" s="276" t="s">
        <v>139</v>
      </c>
    </row>
    <row r="296" spans="1:10" ht="30" customHeight="1">
      <c r="A296" s="1368"/>
      <c r="B296" s="368"/>
      <c r="C296" s="425" t="s">
        <v>251</v>
      </c>
      <c r="D296" s="369"/>
      <c r="E296" s="442">
        <f>TRUNC(E292*I296*150%)</f>
        <v>0</v>
      </c>
      <c r="F296" s="428"/>
      <c r="G296" s="520" t="s">
        <v>252</v>
      </c>
      <c r="H296" s="276" t="s">
        <v>214</v>
      </c>
      <c r="J296" s="566" t="s">
        <v>323</v>
      </c>
    </row>
    <row r="297" spans="1:10" ht="30" customHeight="1">
      <c r="A297" s="1368"/>
      <c r="B297" s="368"/>
      <c r="C297" s="425" t="s">
        <v>276</v>
      </c>
      <c r="D297" s="369"/>
      <c r="E297" s="442">
        <f>TRUNC(E292*I297*150%)</f>
        <v>325468</v>
      </c>
      <c r="F297" s="428"/>
      <c r="G297" s="520" t="s">
        <v>252</v>
      </c>
      <c r="H297" s="276" t="s">
        <v>247</v>
      </c>
      <c r="I297" s="565">
        <f>$K$5</f>
        <v>1.8</v>
      </c>
      <c r="J297" s="566" t="s">
        <v>324</v>
      </c>
    </row>
    <row r="298" spans="1:10" ht="30" customHeight="1">
      <c r="A298" s="1357"/>
      <c r="B298" s="368"/>
      <c r="C298" s="425" t="s">
        <v>115</v>
      </c>
      <c r="D298" s="369"/>
      <c r="E298" s="442">
        <f>SUM(E295:E297)</f>
        <v>476148</v>
      </c>
      <c r="F298" s="428"/>
      <c r="G298" s="577"/>
      <c r="H298" s="276"/>
    </row>
    <row r="299" spans="1:10" ht="30" customHeight="1">
      <c r="A299" s="1365" t="s">
        <v>321</v>
      </c>
      <c r="B299" s="1366"/>
      <c r="C299" s="1366"/>
      <c r="D299" s="1367"/>
      <c r="E299" s="442">
        <f>TRUNC(E294*$I$5/12,0)</f>
        <v>655505</v>
      </c>
      <c r="F299" s="428"/>
      <c r="G299" s="578"/>
      <c r="H299" s="276" t="s">
        <v>254</v>
      </c>
    </row>
    <row r="300" spans="1:10" ht="30" customHeight="1">
      <c r="A300" s="1365" t="s">
        <v>322</v>
      </c>
      <c r="B300" s="1366"/>
      <c r="C300" s="1366"/>
      <c r="D300" s="1367"/>
      <c r="E300" s="442">
        <f>TRUNC(SUM(E294,E298,E299)/12,0)</f>
        <v>258180</v>
      </c>
      <c r="F300" s="428"/>
      <c r="G300" s="578" t="s">
        <v>209</v>
      </c>
      <c r="H300" s="276" t="s">
        <v>267</v>
      </c>
    </row>
    <row r="301" spans="1:10" ht="30" customHeight="1">
      <c r="A301" s="1360" t="s">
        <v>116</v>
      </c>
      <c r="B301" s="1361"/>
      <c r="C301" s="1361"/>
      <c r="D301" s="1362"/>
      <c r="E301" s="442">
        <f>SUM(E294,E298,E299,E300)</f>
        <v>3356350</v>
      </c>
      <c r="F301" s="428"/>
      <c r="G301" s="442"/>
      <c r="H301" s="22"/>
    </row>
    <row r="302" spans="1:10" ht="30" customHeight="1">
      <c r="A302" s="25" t="str">
        <f>"주 1) 통상일급 : 통상시간급 × 8시간"</f>
        <v>주 1) 통상일급 : 통상시간급 × 8시간</v>
      </c>
      <c r="B302" s="25"/>
      <c r="C302" s="25"/>
      <c r="D302" s="25"/>
      <c r="E302" s="431"/>
      <c r="F302" s="431"/>
      <c r="G302" s="431"/>
      <c r="H302" s="431"/>
    </row>
    <row r="303" spans="1:10" ht="30" customHeight="1">
      <c r="A303" s="25" t="s">
        <v>326</v>
      </c>
      <c r="B303" s="433"/>
      <c r="C303" s="433"/>
      <c r="D303" s="433"/>
      <c r="E303" s="432"/>
      <c r="F303" s="432"/>
      <c r="G303" s="277"/>
      <c r="H303" s="277"/>
    </row>
    <row r="304" spans="1:10" ht="30" customHeight="1">
      <c r="A304" s="579" t="s">
        <v>746</v>
      </c>
      <c r="B304" s="12"/>
      <c r="C304" s="12"/>
      <c r="D304" s="12"/>
      <c r="G304" s="58"/>
      <c r="H304" s="58"/>
    </row>
    <row r="305" spans="1:14" ht="30" customHeight="1">
      <c r="A305" s="25" t="str">
        <f>"   3) 기본급 : "&amp;월기본급!$A$1&amp;월기본급!$A$2&amp;" 참조"</f>
        <v xml:space="preserve">   3) 기본급 : [ 표 : 8 ] 월(M/M)당기본급산출표 참조</v>
      </c>
      <c r="B305" s="25"/>
      <c r="C305" s="25"/>
      <c r="D305" s="25"/>
      <c r="E305" s="583"/>
      <c r="F305" s="583"/>
      <c r="G305" s="583"/>
      <c r="H305" s="583"/>
    </row>
    <row r="306" spans="1:14" ht="30" customHeight="1">
      <c r="A306" s="582" t="str">
        <f>"   4) 년차수당 : "&amp;FIXED(E292,0)&amp;"(통상일급) × 15일/년 ÷ 12개월"</f>
        <v xml:space="preserve">   4) 년차수당 : 120,544(통상일급) × 15일/년 ÷ 12개월</v>
      </c>
      <c r="B306" s="25"/>
      <c r="C306" s="25"/>
      <c r="D306" s="25"/>
      <c r="E306" s="583"/>
      <c r="F306" s="583"/>
      <c r="G306" s="583"/>
      <c r="H306" s="583"/>
    </row>
    <row r="307" spans="1:14" ht="30" customHeight="1">
      <c r="A307" s="69" t="str">
        <f>"   5) 연장근로수당 : "&amp;FIXED(E292,0)&amp;"(통상일급) × "&amp;I296&amp;"일(연장근로일수) × 150%"</f>
        <v xml:space="preserve">   5) 연장근로수당 : 120,544(통상일급) × 일(연장근로일수) × 150%</v>
      </c>
      <c r="B307" s="25"/>
      <c r="C307" s="25"/>
      <c r="D307" s="25"/>
      <c r="E307" s="583"/>
      <c r="F307" s="583"/>
      <c r="G307" s="583"/>
      <c r="H307" s="583"/>
    </row>
    <row r="308" spans="1:14" ht="30" customHeight="1">
      <c r="A308" s="69" t="str">
        <f>"   6) 휴일근로수당 : "&amp;FIXED(E292,0)&amp;"(통상일급) × "&amp;I297&amp;"일(휴일근로일수) × 150%"</f>
        <v xml:space="preserve">   6) 휴일근로수당 : 120,544(통상일급) × 1.8일(휴일근로일수) × 150%</v>
      </c>
      <c r="B308" s="12"/>
      <c r="C308" s="12"/>
      <c r="D308" s="12"/>
      <c r="G308" s="58"/>
      <c r="H308" s="58"/>
    </row>
    <row r="309" spans="1:14" ht="30" customHeight="1">
      <c r="A309" s="582" t="str">
        <f>"   7) 상여금 : "&amp;FIXED(E294,0)&amp;"(기본급) × "&amp;$I$5&amp;"개월(년 "&amp;$I$5*100&amp;"% 적용) ÷ 12개월"</f>
        <v xml:space="preserve">   7) 상여금 : 1,966,517(기본급) × 4개월(년 400% 적용) ÷ 12개월</v>
      </c>
      <c r="B309" s="12"/>
      <c r="C309" s="12"/>
      <c r="D309" s="12"/>
      <c r="G309" s="58"/>
      <c r="H309" s="58"/>
    </row>
    <row r="310" spans="1:14" ht="30" customHeight="1">
      <c r="A310" s="582" t="str">
        <f>"   8) 퇴직급여충당금 : {"&amp;FIXED(E294,0)&amp;"(기본급)+"&amp;FIXED(E298,0)&amp;"(제수당)+"&amp;FIXED(E299,0)&amp;"(상여금)} ÷ 12개월"</f>
        <v xml:space="preserve">   8) 퇴직급여충당금 : {1,966,517(기본급)+476,148(제수당)+655,505(상여금)} ÷ 12개월</v>
      </c>
      <c r="B310" s="585"/>
      <c r="C310" s="585"/>
      <c r="D310" s="585"/>
      <c r="E310" s="585"/>
      <c r="F310" s="585"/>
      <c r="G310" s="585"/>
      <c r="H310" s="585"/>
    </row>
    <row r="311" spans="1:14" ht="30" customHeight="1">
      <c r="A311" s="582"/>
      <c r="B311" s="585"/>
      <c r="C311" s="585"/>
      <c r="D311" s="585"/>
      <c r="E311" s="585"/>
      <c r="F311" s="585"/>
      <c r="G311" s="585"/>
      <c r="H311" s="585"/>
    </row>
    <row r="312" spans="1:14" ht="20.100000000000001" customHeight="1">
      <c r="A312" s="569" t="str">
        <f>"구분:"&amp;월기본급!$A$22&amp;"      직책:"&amp;월기본급!$B$22&amp;"      직종명:"&amp;월기본급!$D$22&amp;""</f>
        <v>구분:환경팀      직책:환경팀원      직종명:단순노무종사원</v>
      </c>
      <c r="B312" s="69"/>
      <c r="C312" s="69"/>
      <c r="D312" s="69"/>
      <c r="E312" s="69"/>
      <c r="F312" s="432"/>
      <c r="G312" s="432"/>
      <c r="H312" s="422" t="s">
        <v>168</v>
      </c>
      <c r="I312" s="586">
        <f>월기본급!$H$18</f>
        <v>20.6</v>
      </c>
      <c r="J312" s="566" t="s">
        <v>212</v>
      </c>
      <c r="K312" s="587"/>
      <c r="L312" s="573"/>
      <c r="M312" s="573"/>
      <c r="N312" s="573"/>
    </row>
    <row r="313" spans="1:14" ht="39.950000000000003" customHeight="1">
      <c r="A313" s="1360" t="s">
        <v>113</v>
      </c>
      <c r="B313" s="1361"/>
      <c r="C313" s="1361"/>
      <c r="D313" s="1362"/>
      <c r="E313" s="1363" t="s">
        <v>155</v>
      </c>
      <c r="F313" s="1364"/>
      <c r="G313" s="423" t="s">
        <v>141</v>
      </c>
      <c r="H313" s="575" t="s">
        <v>154</v>
      </c>
      <c r="K313" s="588"/>
    </row>
    <row r="314" spans="1:14" ht="30" customHeight="1">
      <c r="A314" s="1365" t="s">
        <v>318</v>
      </c>
      <c r="B314" s="1366"/>
      <c r="C314" s="1366"/>
      <c r="D314" s="1367"/>
      <c r="E314" s="442">
        <f>TRUNC(E315*8,0)</f>
        <v>106856</v>
      </c>
      <c r="F314" s="428"/>
      <c r="G314" s="520"/>
      <c r="H314" s="276" t="s">
        <v>140</v>
      </c>
    </row>
    <row r="315" spans="1:14" ht="30" customHeight="1">
      <c r="A315" s="1365" t="s">
        <v>319</v>
      </c>
      <c r="B315" s="1366"/>
      <c r="C315" s="1366"/>
      <c r="D315" s="1367"/>
      <c r="E315" s="442">
        <f>TRUNC(월기본급!$G$22+(E321/209),0)</f>
        <v>13357</v>
      </c>
      <c r="F315" s="428"/>
      <c r="G315" s="520"/>
      <c r="H315" s="276" t="s">
        <v>137</v>
      </c>
    </row>
    <row r="316" spans="1:14" ht="30" customHeight="1">
      <c r="A316" s="1365" t="s">
        <v>320</v>
      </c>
      <c r="B316" s="1366"/>
      <c r="C316" s="1366"/>
      <c r="D316" s="1367"/>
      <c r="E316" s="442">
        <f>월기본급!$I$22</f>
        <v>1743130</v>
      </c>
      <c r="F316" s="428"/>
      <c r="G316" s="520" t="str">
        <f>월기본급!$A$1&amp;" 참조"</f>
        <v>[ 표 : 8 ]  참조</v>
      </c>
      <c r="H316" s="276" t="s">
        <v>138</v>
      </c>
    </row>
    <row r="317" spans="1:14" ht="30" customHeight="1">
      <c r="A317" s="1356" t="s">
        <v>255</v>
      </c>
      <c r="B317" s="368"/>
      <c r="C317" s="425" t="s">
        <v>114</v>
      </c>
      <c r="D317" s="369"/>
      <c r="E317" s="442">
        <f>TRUNC(E314*15/12,0)</f>
        <v>133570</v>
      </c>
      <c r="F317" s="428"/>
      <c r="G317" s="520" t="s">
        <v>249</v>
      </c>
      <c r="H317" s="276" t="s">
        <v>139</v>
      </c>
      <c r="M317" s="317"/>
    </row>
    <row r="318" spans="1:14" ht="30" customHeight="1">
      <c r="A318" s="1368"/>
      <c r="B318" s="368"/>
      <c r="C318" s="425" t="s">
        <v>251</v>
      </c>
      <c r="D318" s="369"/>
      <c r="E318" s="442">
        <f>TRUNC(E314*I318*150%)</f>
        <v>0</v>
      </c>
      <c r="F318" s="428"/>
      <c r="G318" s="520" t="s">
        <v>252</v>
      </c>
      <c r="H318" s="276" t="s">
        <v>214</v>
      </c>
      <c r="J318" s="566" t="s">
        <v>323</v>
      </c>
      <c r="L318" s="62"/>
      <c r="M318" s="317"/>
    </row>
    <row r="319" spans="1:14" ht="30" customHeight="1">
      <c r="A319" s="1368"/>
      <c r="B319" s="368"/>
      <c r="C319" s="425" t="s">
        <v>276</v>
      </c>
      <c r="D319" s="369"/>
      <c r="E319" s="442">
        <f>TRUNC(E314*I319*150%)</f>
        <v>288511</v>
      </c>
      <c r="F319" s="428"/>
      <c r="G319" s="520" t="s">
        <v>252</v>
      </c>
      <c r="H319" s="276" t="s">
        <v>247</v>
      </c>
      <c r="I319" s="565">
        <f>$K$5</f>
        <v>1.8</v>
      </c>
      <c r="J319" s="566" t="s">
        <v>324</v>
      </c>
      <c r="L319" s="62"/>
    </row>
    <row r="320" spans="1:14" ht="30" customHeight="1">
      <c r="A320" s="1357"/>
      <c r="B320" s="368"/>
      <c r="C320" s="425" t="s">
        <v>115</v>
      </c>
      <c r="D320" s="369"/>
      <c r="E320" s="442">
        <f>SUM(E317:E319)</f>
        <v>422081</v>
      </c>
      <c r="F320" s="428"/>
      <c r="G320" s="577"/>
      <c r="H320" s="276"/>
    </row>
    <row r="321" spans="1:14" ht="30" customHeight="1">
      <c r="A321" s="1365" t="s">
        <v>321</v>
      </c>
      <c r="B321" s="1366"/>
      <c r="C321" s="1366"/>
      <c r="D321" s="1367"/>
      <c r="E321" s="442">
        <f>TRUNC(E316*$I$5/12,0)</f>
        <v>581043</v>
      </c>
      <c r="F321" s="428"/>
      <c r="G321" s="578"/>
      <c r="H321" s="276" t="s">
        <v>254</v>
      </c>
    </row>
    <row r="322" spans="1:14" ht="30" customHeight="1">
      <c r="A322" s="1365" t="s">
        <v>322</v>
      </c>
      <c r="B322" s="1366"/>
      <c r="C322" s="1366"/>
      <c r="D322" s="1367"/>
      <c r="E322" s="442">
        <f>TRUNC(SUM(E316,E320,E321)/12,0)</f>
        <v>228854</v>
      </c>
      <c r="F322" s="428"/>
      <c r="G322" s="578" t="s">
        <v>209</v>
      </c>
      <c r="H322" s="276" t="s">
        <v>267</v>
      </c>
    </row>
    <row r="323" spans="1:14" ht="30" customHeight="1">
      <c r="A323" s="1360" t="s">
        <v>116</v>
      </c>
      <c r="B323" s="1361"/>
      <c r="C323" s="1361"/>
      <c r="D323" s="1362"/>
      <c r="E323" s="442">
        <f>SUM(E316,E320,E321,E322)</f>
        <v>2975108</v>
      </c>
      <c r="F323" s="428"/>
      <c r="G323" s="442"/>
      <c r="H323" s="22"/>
    </row>
    <row r="324" spans="1:14" s="433" customFormat="1" ht="30" customHeight="1">
      <c r="A324" s="25" t="str">
        <f>"주 1) 통상일급 : 통상시간급 × 8시간"</f>
        <v>주 1) 통상일급 : 통상시간급 × 8시간</v>
      </c>
      <c r="B324" s="25"/>
      <c r="C324" s="25"/>
      <c r="D324" s="25"/>
      <c r="E324" s="431"/>
      <c r="F324" s="431"/>
      <c r="G324" s="431"/>
      <c r="H324" s="431"/>
      <c r="I324" s="580"/>
      <c r="J324" s="581"/>
      <c r="K324" s="580"/>
    </row>
    <row r="325" spans="1:14" s="433" customFormat="1" ht="30" customHeight="1">
      <c r="A325" s="25" t="s">
        <v>326</v>
      </c>
      <c r="E325" s="432"/>
      <c r="F325" s="432"/>
      <c r="G325" s="277"/>
      <c r="H325" s="277"/>
      <c r="I325" s="580"/>
      <c r="J325" s="581"/>
      <c r="K325" s="580"/>
    </row>
    <row r="326" spans="1:14" ht="29.1" customHeight="1">
      <c r="A326" s="579" t="s">
        <v>746</v>
      </c>
      <c r="B326" s="12"/>
      <c r="C326" s="12"/>
      <c r="D326" s="12"/>
      <c r="G326" s="58"/>
      <c r="H326" s="58"/>
    </row>
    <row r="327" spans="1:14" s="433" customFormat="1" ht="30" customHeight="1">
      <c r="A327" s="25" t="str">
        <f>"   3) 기본급 : "&amp;월기본급!$A$1&amp;월기본급!$A$2&amp;" 참조"</f>
        <v xml:space="preserve">   3) 기본급 : [ 표 : 8 ] 월(M/M)당기본급산출표 참조</v>
      </c>
      <c r="B327" s="25"/>
      <c r="C327" s="25"/>
      <c r="D327" s="25"/>
      <c r="E327" s="583"/>
      <c r="F327" s="583"/>
      <c r="G327" s="583"/>
      <c r="H327" s="583"/>
      <c r="I327" s="584"/>
      <c r="J327" s="584"/>
      <c r="K327" s="580"/>
      <c r="L327" s="582"/>
    </row>
    <row r="328" spans="1:14" s="433" customFormat="1" ht="30" customHeight="1">
      <c r="A328" s="582" t="str">
        <f>"   4) 년차수당 : "&amp;FIXED(E314,0)&amp;"(통상일급) × 15일/년 ÷ 12개월"</f>
        <v xml:space="preserve">   4) 년차수당 : 106,856(통상일급) × 15일/년 ÷ 12개월</v>
      </c>
      <c r="B328" s="25"/>
      <c r="C328" s="25"/>
      <c r="D328" s="25"/>
      <c r="E328" s="583"/>
      <c r="F328" s="583"/>
      <c r="G328" s="583"/>
      <c r="H328" s="583"/>
      <c r="I328" s="584"/>
      <c r="J328" s="584"/>
      <c r="K328" s="580"/>
      <c r="L328" s="582"/>
    </row>
    <row r="329" spans="1:14" s="433" customFormat="1" ht="30" customHeight="1">
      <c r="A329" s="69" t="str">
        <f>"   5) 연장근로수당 : "&amp;FIXED(E314,0)&amp;"(통상일급) × "&amp;I318&amp;"일(연장근로일수) × 150%"</f>
        <v xml:space="preserve">   5) 연장근로수당 : 106,856(통상일급) × 일(연장근로일수) × 150%</v>
      </c>
      <c r="B329" s="25"/>
      <c r="C329" s="25"/>
      <c r="D329" s="25"/>
      <c r="E329" s="583"/>
      <c r="F329" s="583"/>
      <c r="G329" s="583"/>
      <c r="H329" s="583"/>
      <c r="I329" s="584"/>
      <c r="J329" s="584"/>
      <c r="K329" s="580"/>
      <c r="L329" s="582"/>
    </row>
    <row r="330" spans="1:14" ht="30" customHeight="1">
      <c r="A330" s="69" t="str">
        <f>"   6) 휴일근로수당 : "&amp;FIXED(E314,0)&amp;"(통상일급) × "&amp;I319&amp;"일(휴일근로일수) × 150%"</f>
        <v xml:space="preserve">   6) 휴일근로수당 : 106,856(통상일급) × 1.8일(휴일근로일수) × 150%</v>
      </c>
      <c r="G330" s="58"/>
      <c r="H330" s="58"/>
      <c r="I330" s="12"/>
      <c r="J330" s="69"/>
      <c r="K330" s="12"/>
    </row>
    <row r="331" spans="1:14" ht="30" customHeight="1">
      <c r="A331" s="582" t="str">
        <f>"   7) 상여금 : "&amp;FIXED(E316,0)&amp;"(기본급) × "&amp;$I$5&amp;"개월(년 "&amp;$I$5*100&amp;"% 적용) ÷ 12개월"</f>
        <v xml:space="preserve">   7) 상여금 : 1,743,130(기본급) × 4개월(년 400% 적용) ÷ 12개월</v>
      </c>
      <c r="G331" s="58"/>
      <c r="H331" s="58"/>
    </row>
    <row r="332" spans="1:14" ht="30" customHeight="1">
      <c r="A332" s="582" t="str">
        <f>"   8) 퇴직급여충당금 : {"&amp;FIXED(E316,0)&amp;"(기본급)+"&amp;FIXED(E320,0)&amp;"(제수당)+"&amp;FIXED(E321,0)&amp;"(상여금)} ÷ 12개월"</f>
        <v xml:space="preserve">   8) 퇴직급여충당금 : {1,743,130(기본급)+422,081(제수당)+581,043(상여금)} ÷ 12개월</v>
      </c>
      <c r="B332" s="585"/>
      <c r="C332" s="585"/>
      <c r="D332" s="585"/>
      <c r="E332" s="585"/>
      <c r="F332" s="585"/>
      <c r="G332" s="585"/>
      <c r="H332" s="585"/>
    </row>
    <row r="333" spans="1:14" ht="30" customHeight="1">
      <c r="A333" s="3"/>
      <c r="B333" s="3"/>
      <c r="C333" s="3"/>
      <c r="D333" s="3"/>
    </row>
    <row r="334" spans="1:14" ht="20.100000000000001" customHeight="1">
      <c r="A334" s="569" t="str">
        <f>"구분:"&amp;월기본급!$A$23&amp;"      직책:"&amp;월기본급!$B$23&amp;"      직종명:"&amp;월기본급!$D$23&amp;""</f>
        <v>구분:운반팀      직책:운전원      직종명:초급숙련기술자</v>
      </c>
      <c r="B334" s="69"/>
      <c r="C334" s="69"/>
      <c r="D334" s="69"/>
      <c r="E334" s="69"/>
      <c r="F334" s="432"/>
      <c r="G334" s="432"/>
      <c r="H334" s="422" t="s">
        <v>168</v>
      </c>
      <c r="I334" s="586">
        <f>월기본급!$H$18</f>
        <v>20.6</v>
      </c>
      <c r="J334" s="566" t="s">
        <v>212</v>
      </c>
      <c r="K334" s="587"/>
      <c r="L334" s="573"/>
      <c r="M334" s="573"/>
      <c r="N334" s="573"/>
    </row>
    <row r="335" spans="1:14" ht="39.950000000000003" customHeight="1">
      <c r="A335" s="1360" t="s">
        <v>113</v>
      </c>
      <c r="B335" s="1361"/>
      <c r="C335" s="1361"/>
      <c r="D335" s="1362"/>
      <c r="E335" s="1363" t="s">
        <v>155</v>
      </c>
      <c r="F335" s="1364"/>
      <c r="G335" s="423" t="s">
        <v>141</v>
      </c>
      <c r="H335" s="575" t="s">
        <v>154</v>
      </c>
      <c r="K335" s="588"/>
    </row>
    <row r="336" spans="1:14" ht="30" customHeight="1">
      <c r="A336" s="1365" t="s">
        <v>318</v>
      </c>
      <c r="B336" s="1366"/>
      <c r="C336" s="1366"/>
      <c r="D336" s="1367"/>
      <c r="E336" s="442">
        <f>TRUNC(E337*8,0)</f>
        <v>120544</v>
      </c>
      <c r="F336" s="428"/>
      <c r="G336" s="520"/>
      <c r="H336" s="276" t="s">
        <v>140</v>
      </c>
    </row>
    <row r="337" spans="1:13" ht="30" customHeight="1">
      <c r="A337" s="1365" t="s">
        <v>319</v>
      </c>
      <c r="B337" s="1366"/>
      <c r="C337" s="1366"/>
      <c r="D337" s="1367"/>
      <c r="E337" s="442">
        <f>TRUNC(월기본급!$G$23+(E343/209),0)</f>
        <v>15068</v>
      </c>
      <c r="F337" s="428"/>
      <c r="G337" s="520"/>
      <c r="H337" s="276" t="s">
        <v>137</v>
      </c>
    </row>
    <row r="338" spans="1:13" ht="30" customHeight="1">
      <c r="A338" s="1365" t="s">
        <v>320</v>
      </c>
      <c r="B338" s="1366"/>
      <c r="C338" s="1366"/>
      <c r="D338" s="1367"/>
      <c r="E338" s="442">
        <f>월기본급!$I$23</f>
        <v>1966517</v>
      </c>
      <c r="F338" s="428"/>
      <c r="G338" s="520" t="str">
        <f>월기본급!$A$1&amp;" 참조"</f>
        <v>[ 표 : 8 ]  참조</v>
      </c>
      <c r="H338" s="276" t="s">
        <v>138</v>
      </c>
    </row>
    <row r="339" spans="1:13" ht="30" customHeight="1">
      <c r="A339" s="1356" t="s">
        <v>255</v>
      </c>
      <c r="B339" s="368"/>
      <c r="C339" s="425" t="s">
        <v>114</v>
      </c>
      <c r="D339" s="369"/>
      <c r="E339" s="442">
        <f>TRUNC(E336*15/12,0)</f>
        <v>150680</v>
      </c>
      <c r="F339" s="428"/>
      <c r="G339" s="520" t="s">
        <v>249</v>
      </c>
      <c r="H339" s="276" t="s">
        <v>139</v>
      </c>
      <c r="M339" s="317"/>
    </row>
    <row r="340" spans="1:13" ht="30" customHeight="1">
      <c r="A340" s="1368"/>
      <c r="B340" s="368"/>
      <c r="C340" s="425" t="s">
        <v>251</v>
      </c>
      <c r="D340" s="369"/>
      <c r="E340" s="442">
        <f>TRUNC(E336*I340*150%)</f>
        <v>0</v>
      </c>
      <c r="F340" s="428"/>
      <c r="G340" s="520" t="s">
        <v>252</v>
      </c>
      <c r="H340" s="276" t="s">
        <v>214</v>
      </c>
      <c r="J340" s="566" t="s">
        <v>323</v>
      </c>
      <c r="L340" s="62"/>
      <c r="M340" s="317"/>
    </row>
    <row r="341" spans="1:13" ht="30" customHeight="1">
      <c r="A341" s="1368"/>
      <c r="B341" s="368"/>
      <c r="C341" s="425" t="s">
        <v>276</v>
      </c>
      <c r="D341" s="369"/>
      <c r="E341" s="442">
        <f>TRUNC(E336*I341*150%)</f>
        <v>325468</v>
      </c>
      <c r="F341" s="428"/>
      <c r="G341" s="520" t="s">
        <v>252</v>
      </c>
      <c r="H341" s="276" t="s">
        <v>247</v>
      </c>
      <c r="I341" s="565">
        <f>$K$5</f>
        <v>1.8</v>
      </c>
      <c r="J341" s="566" t="s">
        <v>324</v>
      </c>
      <c r="L341" s="62"/>
    </row>
    <row r="342" spans="1:13" ht="30" customHeight="1">
      <c r="A342" s="1357"/>
      <c r="B342" s="368"/>
      <c r="C342" s="425" t="s">
        <v>115</v>
      </c>
      <c r="D342" s="369"/>
      <c r="E342" s="442">
        <f>SUM(E339:E341)</f>
        <v>476148</v>
      </c>
      <c r="F342" s="428"/>
      <c r="G342" s="577"/>
      <c r="H342" s="276"/>
    </row>
    <row r="343" spans="1:13" ht="30" customHeight="1">
      <c r="A343" s="1365" t="s">
        <v>321</v>
      </c>
      <c r="B343" s="1366"/>
      <c r="C343" s="1366"/>
      <c r="D343" s="1367"/>
      <c r="E343" s="442">
        <f>TRUNC(E338*$I$5/12,0)</f>
        <v>655505</v>
      </c>
      <c r="F343" s="428"/>
      <c r="G343" s="578"/>
      <c r="H343" s="276" t="s">
        <v>254</v>
      </c>
    </row>
    <row r="344" spans="1:13" ht="30" customHeight="1">
      <c r="A344" s="1365" t="s">
        <v>322</v>
      </c>
      <c r="B344" s="1366"/>
      <c r="C344" s="1366"/>
      <c r="D344" s="1367"/>
      <c r="E344" s="442">
        <f>TRUNC(SUM(E338,E342,E343)/12,0)</f>
        <v>258180</v>
      </c>
      <c r="F344" s="428"/>
      <c r="G344" s="578" t="s">
        <v>209</v>
      </c>
      <c r="H344" s="276" t="s">
        <v>267</v>
      </c>
    </row>
    <row r="345" spans="1:13" ht="30" customHeight="1">
      <c r="A345" s="1360" t="s">
        <v>116</v>
      </c>
      <c r="B345" s="1361"/>
      <c r="C345" s="1361"/>
      <c r="D345" s="1362"/>
      <c r="E345" s="442">
        <f>SUM(E338,E342,E343,E344)</f>
        <v>3356350</v>
      </c>
      <c r="F345" s="428"/>
      <c r="G345" s="442"/>
      <c r="H345" s="22"/>
    </row>
    <row r="346" spans="1:13" s="433" customFormat="1" ht="30" customHeight="1">
      <c r="A346" s="25" t="str">
        <f>"주 1) 통상일급 : 통상시간급 × 8시간"</f>
        <v>주 1) 통상일급 : 통상시간급 × 8시간</v>
      </c>
      <c r="B346" s="25"/>
      <c r="C346" s="25"/>
      <c r="D346" s="25"/>
      <c r="E346" s="431"/>
      <c r="F346" s="431"/>
      <c r="G346" s="431"/>
      <c r="H346" s="431"/>
      <c r="I346" s="580"/>
      <c r="J346" s="581"/>
      <c r="K346" s="580"/>
    </row>
    <row r="347" spans="1:13" s="433" customFormat="1" ht="30" customHeight="1">
      <c r="A347" s="25" t="s">
        <v>326</v>
      </c>
      <c r="E347" s="432"/>
      <c r="F347" s="432"/>
      <c r="G347" s="277"/>
      <c r="H347" s="277"/>
      <c r="I347" s="580"/>
      <c r="J347" s="581"/>
      <c r="K347" s="580"/>
    </row>
    <row r="348" spans="1:13" ht="29.1" customHeight="1">
      <c r="A348" s="579" t="s">
        <v>746</v>
      </c>
      <c r="B348" s="12"/>
      <c r="C348" s="12"/>
      <c r="D348" s="12"/>
      <c r="G348" s="58"/>
      <c r="H348" s="58"/>
    </row>
    <row r="349" spans="1:13" s="433" customFormat="1" ht="30" customHeight="1">
      <c r="A349" s="25" t="str">
        <f>"   3) 기본급 : "&amp;월기본급!$A$1&amp;월기본급!$A$2&amp;" 참조"</f>
        <v xml:space="preserve">   3) 기본급 : [ 표 : 8 ] 월(M/M)당기본급산출표 참조</v>
      </c>
      <c r="B349" s="25"/>
      <c r="C349" s="25"/>
      <c r="D349" s="25"/>
      <c r="E349" s="583"/>
      <c r="F349" s="583"/>
      <c r="G349" s="583"/>
      <c r="H349" s="583"/>
      <c r="I349" s="584"/>
      <c r="J349" s="584"/>
      <c r="K349" s="580"/>
      <c r="L349" s="582"/>
    </row>
    <row r="350" spans="1:13" s="433" customFormat="1" ht="30" customHeight="1">
      <c r="A350" s="582" t="str">
        <f>"   4) 년차수당 : "&amp;FIXED(E336,0)&amp;"(통상일급) × 15일/년 ÷ 12개월"</f>
        <v xml:space="preserve">   4) 년차수당 : 120,544(통상일급) × 15일/년 ÷ 12개월</v>
      </c>
      <c r="B350" s="25"/>
      <c r="C350" s="25"/>
      <c r="D350" s="25"/>
      <c r="E350" s="583"/>
      <c r="F350" s="583"/>
      <c r="G350" s="583"/>
      <c r="H350" s="583"/>
      <c r="I350" s="584"/>
      <c r="J350" s="584"/>
      <c r="K350" s="580"/>
      <c r="L350" s="582"/>
    </row>
    <row r="351" spans="1:13" s="433" customFormat="1" ht="30" customHeight="1">
      <c r="A351" s="69" t="str">
        <f>"   5) 연장근로수당 : "&amp;FIXED(E336,0)&amp;"(통상일급) × "&amp;I340&amp;"일(연장근로일수) × 150%"</f>
        <v xml:space="preserve">   5) 연장근로수당 : 120,544(통상일급) × 일(연장근로일수) × 150%</v>
      </c>
      <c r="B351" s="25"/>
      <c r="C351" s="25"/>
      <c r="D351" s="25"/>
      <c r="E351" s="583"/>
      <c r="F351" s="583"/>
      <c r="G351" s="583"/>
      <c r="H351" s="583"/>
      <c r="I351" s="584"/>
      <c r="J351" s="584"/>
      <c r="K351" s="580"/>
      <c r="L351" s="582"/>
    </row>
    <row r="352" spans="1:13" ht="30" customHeight="1">
      <c r="A352" s="69" t="str">
        <f>"   6) 휴일근로수당 : "&amp;FIXED(E336,0)&amp;"(통상일급) × "&amp;I341&amp;"일(휴일근로일수) × 150%"</f>
        <v xml:space="preserve">   6) 휴일근로수당 : 120,544(통상일급) × 1.8일(휴일근로일수) × 150%</v>
      </c>
      <c r="G352" s="58"/>
      <c r="H352" s="58"/>
      <c r="I352" s="12"/>
      <c r="J352" s="69"/>
      <c r="K352" s="12"/>
    </row>
    <row r="353" spans="1:14" ht="30" customHeight="1">
      <c r="A353" s="582" t="str">
        <f>"   7) 상여금 : "&amp;FIXED(E338,0)&amp;"(기본급) × "&amp;$I$5&amp;"개월(년 "&amp;$I$5*100&amp;"% 적용) ÷ 12개월"</f>
        <v xml:space="preserve">   7) 상여금 : 1,966,517(기본급) × 4개월(년 400% 적용) ÷ 12개월</v>
      </c>
      <c r="G353" s="58"/>
      <c r="H353" s="58"/>
    </row>
    <row r="354" spans="1:14" ht="30" customHeight="1">
      <c r="A354" s="582" t="str">
        <f>"   8) 퇴직급여충당금 : {"&amp;FIXED(E338,0)&amp;"(기본급)+"&amp;FIXED(E342,0)&amp;"(제수당)+"&amp;FIXED(E343,0)&amp;"(상여금)} ÷ 12개월"</f>
        <v xml:space="preserve">   8) 퇴직급여충당금 : {1,966,517(기본급)+476,148(제수당)+655,505(상여금)} ÷ 12개월</v>
      </c>
      <c r="B354" s="585"/>
      <c r="C354" s="585"/>
      <c r="D354" s="585"/>
      <c r="E354" s="585"/>
      <c r="F354" s="585"/>
      <c r="G354" s="585"/>
      <c r="H354" s="585"/>
    </row>
    <row r="355" spans="1:14" ht="30" customHeight="1">
      <c r="A355" s="3"/>
      <c r="B355" s="3"/>
      <c r="C355" s="3"/>
      <c r="D355" s="3"/>
    </row>
    <row r="356" spans="1:14" ht="20.100000000000001" customHeight="1">
      <c r="A356" s="569" t="str">
        <f>"구분:"&amp;월기본급!$A$24&amp;"      직책:"&amp;월기본급!$B$24&amp;"      직종명:"&amp;월기본급!$D$24&amp;""</f>
        <v>구분:운반팀      직책:운반팀원      직종명:단순노무종사원</v>
      </c>
      <c r="B356" s="69"/>
      <c r="C356" s="69"/>
      <c r="D356" s="69"/>
      <c r="E356" s="69"/>
      <c r="F356" s="432"/>
      <c r="G356" s="432"/>
      <c r="H356" s="422" t="s">
        <v>168</v>
      </c>
      <c r="I356" s="586">
        <f>월기본급!$H$18</f>
        <v>20.6</v>
      </c>
      <c r="J356" s="566" t="s">
        <v>212</v>
      </c>
      <c r="K356" s="587"/>
      <c r="L356" s="573"/>
      <c r="M356" s="573"/>
      <c r="N356" s="573"/>
    </row>
    <row r="357" spans="1:14" ht="39.950000000000003" customHeight="1">
      <c r="A357" s="1360" t="s">
        <v>113</v>
      </c>
      <c r="B357" s="1361"/>
      <c r="C357" s="1361"/>
      <c r="D357" s="1362"/>
      <c r="E357" s="1363" t="s">
        <v>155</v>
      </c>
      <c r="F357" s="1364"/>
      <c r="G357" s="423" t="s">
        <v>141</v>
      </c>
      <c r="H357" s="575" t="s">
        <v>154</v>
      </c>
      <c r="K357" s="588"/>
    </row>
    <row r="358" spans="1:14" ht="30" customHeight="1">
      <c r="A358" s="1365" t="s">
        <v>318</v>
      </c>
      <c r="B358" s="1366"/>
      <c r="C358" s="1366"/>
      <c r="D358" s="1367"/>
      <c r="E358" s="442">
        <f>TRUNC(E359*8,0)</f>
        <v>106856</v>
      </c>
      <c r="F358" s="428"/>
      <c r="G358" s="520"/>
      <c r="H358" s="276" t="s">
        <v>140</v>
      </c>
    </row>
    <row r="359" spans="1:14" ht="30" customHeight="1">
      <c r="A359" s="1365" t="s">
        <v>319</v>
      </c>
      <c r="B359" s="1366"/>
      <c r="C359" s="1366"/>
      <c r="D359" s="1367"/>
      <c r="E359" s="442">
        <f>TRUNC(월기본급!$G$24+(E365/209),0)</f>
        <v>13357</v>
      </c>
      <c r="F359" s="428"/>
      <c r="G359" s="520"/>
      <c r="H359" s="276" t="s">
        <v>137</v>
      </c>
    </row>
    <row r="360" spans="1:14" ht="30" customHeight="1">
      <c r="A360" s="1365" t="s">
        <v>320</v>
      </c>
      <c r="B360" s="1366"/>
      <c r="C360" s="1366"/>
      <c r="D360" s="1367"/>
      <c r="E360" s="442">
        <f>월기본급!$I$24</f>
        <v>1743130</v>
      </c>
      <c r="F360" s="428"/>
      <c r="G360" s="520" t="str">
        <f>월기본급!$A$1&amp;" 참조"</f>
        <v>[ 표 : 8 ]  참조</v>
      </c>
      <c r="H360" s="276" t="s">
        <v>138</v>
      </c>
    </row>
    <row r="361" spans="1:14" ht="30" customHeight="1">
      <c r="A361" s="1356" t="s">
        <v>255</v>
      </c>
      <c r="B361" s="368"/>
      <c r="C361" s="425" t="s">
        <v>114</v>
      </c>
      <c r="D361" s="369"/>
      <c r="E361" s="442">
        <f>TRUNC(E358*15/12,0)</f>
        <v>133570</v>
      </c>
      <c r="F361" s="428"/>
      <c r="G361" s="520" t="s">
        <v>249</v>
      </c>
      <c r="H361" s="276" t="s">
        <v>139</v>
      </c>
      <c r="M361" s="317"/>
    </row>
    <row r="362" spans="1:14" ht="30" customHeight="1">
      <c r="A362" s="1368"/>
      <c r="B362" s="368"/>
      <c r="C362" s="425" t="s">
        <v>251</v>
      </c>
      <c r="D362" s="369"/>
      <c r="E362" s="442">
        <f>TRUNC(E358*I362*150%)</f>
        <v>0</v>
      </c>
      <c r="F362" s="428"/>
      <c r="G362" s="520" t="s">
        <v>252</v>
      </c>
      <c r="H362" s="276" t="s">
        <v>214</v>
      </c>
      <c r="J362" s="566" t="s">
        <v>323</v>
      </c>
      <c r="L362" s="62"/>
      <c r="M362" s="317"/>
    </row>
    <row r="363" spans="1:14" ht="30" customHeight="1">
      <c r="A363" s="1368"/>
      <c r="B363" s="368"/>
      <c r="C363" s="425" t="s">
        <v>276</v>
      </c>
      <c r="D363" s="369"/>
      <c r="E363" s="442">
        <f>TRUNC(E358*I363*150%)</f>
        <v>288511</v>
      </c>
      <c r="F363" s="428"/>
      <c r="G363" s="520" t="s">
        <v>252</v>
      </c>
      <c r="H363" s="276" t="s">
        <v>247</v>
      </c>
      <c r="I363" s="565">
        <f>$K$5</f>
        <v>1.8</v>
      </c>
      <c r="J363" s="566" t="s">
        <v>324</v>
      </c>
      <c r="L363" s="62"/>
    </row>
    <row r="364" spans="1:14" ht="30" customHeight="1">
      <c r="A364" s="1357"/>
      <c r="B364" s="368"/>
      <c r="C364" s="425" t="s">
        <v>115</v>
      </c>
      <c r="D364" s="369"/>
      <c r="E364" s="442">
        <f>SUM(E361:E363)</f>
        <v>422081</v>
      </c>
      <c r="F364" s="428"/>
      <c r="G364" s="577"/>
      <c r="H364" s="276"/>
    </row>
    <row r="365" spans="1:14" ht="30" customHeight="1">
      <c r="A365" s="1365" t="s">
        <v>321</v>
      </c>
      <c r="B365" s="1366"/>
      <c r="C365" s="1366"/>
      <c r="D365" s="1367"/>
      <c r="E365" s="442">
        <f>TRUNC(E360*$I$5/12,0)</f>
        <v>581043</v>
      </c>
      <c r="F365" s="428"/>
      <c r="G365" s="578"/>
      <c r="H365" s="276" t="s">
        <v>254</v>
      </c>
    </row>
    <row r="366" spans="1:14" ht="30" customHeight="1">
      <c r="A366" s="1365" t="s">
        <v>322</v>
      </c>
      <c r="B366" s="1366"/>
      <c r="C366" s="1366"/>
      <c r="D366" s="1367"/>
      <c r="E366" s="442">
        <f>TRUNC(SUM(E360,E364,E365)/12,0)</f>
        <v>228854</v>
      </c>
      <c r="F366" s="428"/>
      <c r="G366" s="578" t="s">
        <v>209</v>
      </c>
      <c r="H366" s="276" t="s">
        <v>267</v>
      </c>
    </row>
    <row r="367" spans="1:14" ht="30" customHeight="1">
      <c r="A367" s="1360" t="s">
        <v>116</v>
      </c>
      <c r="B367" s="1361"/>
      <c r="C367" s="1361"/>
      <c r="D367" s="1362"/>
      <c r="E367" s="442">
        <f>SUM(E360,E364,E365,E366)</f>
        <v>2975108</v>
      </c>
      <c r="F367" s="428"/>
      <c r="G367" s="442"/>
      <c r="H367" s="22"/>
    </row>
    <row r="368" spans="1:14" s="433" customFormat="1" ht="30" customHeight="1">
      <c r="A368" s="25" t="str">
        <f>"주 1) 통상일급 : 통상시간급 × 8시간"</f>
        <v>주 1) 통상일급 : 통상시간급 × 8시간</v>
      </c>
      <c r="B368" s="25"/>
      <c r="C368" s="25"/>
      <c r="D368" s="25"/>
      <c r="E368" s="431"/>
      <c r="F368" s="431"/>
      <c r="G368" s="431"/>
      <c r="H368" s="431"/>
      <c r="I368" s="580"/>
      <c r="J368" s="581"/>
      <c r="K368" s="580"/>
    </row>
    <row r="369" spans="1:12" s="433" customFormat="1" ht="30" customHeight="1">
      <c r="A369" s="25" t="s">
        <v>326</v>
      </c>
      <c r="E369" s="432"/>
      <c r="F369" s="432"/>
      <c r="G369" s="277"/>
      <c r="H369" s="277"/>
      <c r="I369" s="580"/>
      <c r="J369" s="581"/>
      <c r="K369" s="580"/>
    </row>
    <row r="370" spans="1:12" ht="29.1" customHeight="1">
      <c r="A370" s="579" t="s">
        <v>746</v>
      </c>
      <c r="B370" s="12"/>
      <c r="C370" s="12"/>
      <c r="D370" s="12"/>
      <c r="G370" s="58"/>
      <c r="H370" s="58"/>
    </row>
    <row r="371" spans="1:12" s="433" customFormat="1" ht="30" customHeight="1">
      <c r="A371" s="25" t="str">
        <f>"   3) 기본급 : "&amp;월기본급!$A$1&amp;월기본급!$A$2&amp;" 참조"</f>
        <v xml:space="preserve">   3) 기본급 : [ 표 : 8 ] 월(M/M)당기본급산출표 참조</v>
      </c>
      <c r="B371" s="25"/>
      <c r="C371" s="25"/>
      <c r="D371" s="25"/>
      <c r="E371" s="583"/>
      <c r="F371" s="583"/>
      <c r="G371" s="583"/>
      <c r="H371" s="583"/>
      <c r="I371" s="584"/>
      <c r="J371" s="584"/>
      <c r="K371" s="580"/>
      <c r="L371" s="582"/>
    </row>
    <row r="372" spans="1:12" s="433" customFormat="1" ht="30" customHeight="1">
      <c r="A372" s="582" t="str">
        <f>"   4) 년차수당 : "&amp;FIXED(E358,0)&amp;"(통상일급) × 15일/년 ÷ 12개월"</f>
        <v xml:space="preserve">   4) 년차수당 : 106,856(통상일급) × 15일/년 ÷ 12개월</v>
      </c>
      <c r="B372" s="25"/>
      <c r="C372" s="25"/>
      <c r="D372" s="25"/>
      <c r="E372" s="583"/>
      <c r="F372" s="583"/>
      <c r="G372" s="583"/>
      <c r="H372" s="583"/>
      <c r="I372" s="584"/>
      <c r="J372" s="584"/>
      <c r="K372" s="580"/>
      <c r="L372" s="582"/>
    </row>
    <row r="373" spans="1:12" s="433" customFormat="1" ht="30" customHeight="1">
      <c r="A373" s="69" t="str">
        <f>"   5) 연장근로수당 : "&amp;FIXED(E358,0)&amp;"(통상일급) × "&amp;I362&amp;"일(연장근로일수) × 150%"</f>
        <v xml:space="preserve">   5) 연장근로수당 : 106,856(통상일급) × 일(연장근로일수) × 150%</v>
      </c>
      <c r="B373" s="25"/>
      <c r="C373" s="25"/>
      <c r="D373" s="25"/>
      <c r="E373" s="583"/>
      <c r="F373" s="583"/>
      <c r="G373" s="583"/>
      <c r="H373" s="583"/>
      <c r="I373" s="584"/>
      <c r="J373" s="584"/>
      <c r="K373" s="580"/>
      <c r="L373" s="582"/>
    </row>
    <row r="374" spans="1:12" ht="30" customHeight="1">
      <c r="A374" s="69" t="str">
        <f>"   6) 휴일근로수당 : "&amp;FIXED(E358,0)&amp;"(통상일급) × "&amp;I363&amp;"일(휴일근로일수) × 150%"</f>
        <v xml:space="preserve">   6) 휴일근로수당 : 106,856(통상일급) × 1.8일(휴일근로일수) × 150%</v>
      </c>
      <c r="G374" s="58"/>
      <c r="H374" s="58"/>
      <c r="I374" s="12"/>
      <c r="J374" s="69"/>
      <c r="K374" s="12"/>
    </row>
    <row r="375" spans="1:12" ht="30" customHeight="1">
      <c r="A375" s="582" t="str">
        <f>"   7) 상여금 : "&amp;FIXED(E360,0)&amp;"(기본급) × "&amp;$I$5&amp;"개월(년 "&amp;$I$5*100&amp;"% 적용) ÷ 12개월"</f>
        <v xml:space="preserve">   7) 상여금 : 1,743,130(기본급) × 4개월(년 400% 적용) ÷ 12개월</v>
      </c>
      <c r="G375" s="58"/>
      <c r="H375" s="58"/>
    </row>
    <row r="376" spans="1:12" ht="30" customHeight="1">
      <c r="A376" s="582" t="str">
        <f>"   8) 퇴직급여충당금 : {"&amp;FIXED(E360,0)&amp;"(기본급)+"&amp;FIXED(E364,0)&amp;"(제수당)+"&amp;FIXED(E365,0)&amp;"(상여금)} ÷ 12개월"</f>
        <v xml:space="preserve">   8) 퇴직급여충당금 : {1,743,130(기본급)+422,081(제수당)+581,043(상여금)} ÷ 12개월</v>
      </c>
      <c r="B376" s="585"/>
      <c r="C376" s="585"/>
      <c r="D376" s="585"/>
      <c r="E376" s="585"/>
      <c r="F376" s="585"/>
      <c r="G376" s="585"/>
      <c r="H376" s="585"/>
    </row>
    <row r="377" spans="1:12" ht="30" customHeight="1">
      <c r="A377" s="3"/>
      <c r="B377" s="3"/>
      <c r="C377" s="3"/>
      <c r="D377" s="3"/>
    </row>
  </sheetData>
  <mergeCells count="153">
    <mergeCell ref="E71:F71"/>
    <mergeCell ref="A141:A144"/>
    <mergeCell ref="A145:D145"/>
    <mergeCell ref="A146:D146"/>
    <mergeCell ref="A147:D147"/>
    <mergeCell ref="A125:D125"/>
    <mergeCell ref="A137:D137"/>
    <mergeCell ref="E137:F137"/>
    <mergeCell ref="A115:D115"/>
    <mergeCell ref="A118:D118"/>
    <mergeCell ref="A140:D140"/>
    <mergeCell ref="E115:F115"/>
    <mergeCell ref="A119:A122"/>
    <mergeCell ref="A123:D123"/>
    <mergeCell ref="A124:D124"/>
    <mergeCell ref="E93:F93"/>
    <mergeCell ref="A93:D93"/>
    <mergeCell ref="A95:D95"/>
    <mergeCell ref="A116:D116"/>
    <mergeCell ref="A117:D117"/>
    <mergeCell ref="A139:D139"/>
    <mergeCell ref="A138:D138"/>
    <mergeCell ref="A97:A100"/>
    <mergeCell ref="A80:D80"/>
    <mergeCell ref="A52:D52"/>
    <mergeCell ref="A53:A56"/>
    <mergeCell ref="A72:D72"/>
    <mergeCell ref="A73:D73"/>
    <mergeCell ref="A94:D94"/>
    <mergeCell ref="A96:D96"/>
    <mergeCell ref="A71:D71"/>
    <mergeCell ref="A79:D79"/>
    <mergeCell ref="E5:F5"/>
    <mergeCell ref="A14:D14"/>
    <mergeCell ref="A15:D15"/>
    <mergeCell ref="A5:D5"/>
    <mergeCell ref="A8:D8"/>
    <mergeCell ref="A74:D74"/>
    <mergeCell ref="A27:D27"/>
    <mergeCell ref="A36:D36"/>
    <mergeCell ref="A37:D37"/>
    <mergeCell ref="A58:D58"/>
    <mergeCell ref="E27:F27"/>
    <mergeCell ref="A30:D30"/>
    <mergeCell ref="A31:A34"/>
    <mergeCell ref="A59:D59"/>
    <mergeCell ref="A57:D57"/>
    <mergeCell ref="E49:F49"/>
    <mergeCell ref="A6:D6"/>
    <mergeCell ref="A7:D7"/>
    <mergeCell ref="A28:D28"/>
    <mergeCell ref="A29:D29"/>
    <mergeCell ref="A50:D50"/>
    <mergeCell ref="A51:D51"/>
    <mergeCell ref="A9:A12"/>
    <mergeCell ref="A13:D13"/>
    <mergeCell ref="A49:D49"/>
    <mergeCell ref="A35:D35"/>
    <mergeCell ref="A75:A78"/>
    <mergeCell ref="A102:D102"/>
    <mergeCell ref="A103:D103"/>
    <mergeCell ref="A101:D101"/>
    <mergeCell ref="A81:D81"/>
    <mergeCell ref="A167:D167"/>
    <mergeCell ref="A168:D168"/>
    <mergeCell ref="A169:D169"/>
    <mergeCell ref="A181:D181"/>
    <mergeCell ref="E181:F181"/>
    <mergeCell ref="A182:D182"/>
    <mergeCell ref="A159:D159"/>
    <mergeCell ref="E159:F159"/>
    <mergeCell ref="A160:D160"/>
    <mergeCell ref="A161:D161"/>
    <mergeCell ref="A162:D162"/>
    <mergeCell ref="A163:A166"/>
    <mergeCell ref="E247:F247"/>
    <mergeCell ref="A203:D203"/>
    <mergeCell ref="E203:F203"/>
    <mergeCell ref="A204:D204"/>
    <mergeCell ref="A205:D205"/>
    <mergeCell ref="A206:D206"/>
    <mergeCell ref="A207:A210"/>
    <mergeCell ref="A183:D183"/>
    <mergeCell ref="A184:D184"/>
    <mergeCell ref="A185:A188"/>
    <mergeCell ref="A189:D189"/>
    <mergeCell ref="A190:D190"/>
    <mergeCell ref="A191:D191"/>
    <mergeCell ref="E225:F225"/>
    <mergeCell ref="A249:D249"/>
    <mergeCell ref="A250:D250"/>
    <mergeCell ref="A251:A254"/>
    <mergeCell ref="A255:D255"/>
    <mergeCell ref="A256:D256"/>
    <mergeCell ref="A257:D257"/>
    <mergeCell ref="A211:D211"/>
    <mergeCell ref="A212:D212"/>
    <mergeCell ref="A213:D213"/>
    <mergeCell ref="A247:D247"/>
    <mergeCell ref="A248:D248"/>
    <mergeCell ref="A225:D225"/>
    <mergeCell ref="A226:D226"/>
    <mergeCell ref="A227:D227"/>
    <mergeCell ref="A228:D228"/>
    <mergeCell ref="A229:A232"/>
    <mergeCell ref="A233:D233"/>
    <mergeCell ref="A234:D234"/>
    <mergeCell ref="A235:D235"/>
    <mergeCell ref="A277:D277"/>
    <mergeCell ref="A278:D278"/>
    <mergeCell ref="A279:D279"/>
    <mergeCell ref="A269:D269"/>
    <mergeCell ref="E269:F269"/>
    <mergeCell ref="A270:D270"/>
    <mergeCell ref="A271:D271"/>
    <mergeCell ref="A272:D272"/>
    <mergeCell ref="A273:A276"/>
    <mergeCell ref="A313:D313"/>
    <mergeCell ref="E313:F313"/>
    <mergeCell ref="A314:D314"/>
    <mergeCell ref="A315:D315"/>
    <mergeCell ref="A316:D316"/>
    <mergeCell ref="A317:A320"/>
    <mergeCell ref="A321:D321"/>
    <mergeCell ref="A322:D322"/>
    <mergeCell ref="A323:D323"/>
    <mergeCell ref="A335:D335"/>
    <mergeCell ref="E335:F335"/>
    <mergeCell ref="A336:D336"/>
    <mergeCell ref="A337:D337"/>
    <mergeCell ref="A338:D338"/>
    <mergeCell ref="A339:A342"/>
    <mergeCell ref="A343:D343"/>
    <mergeCell ref="A344:D344"/>
    <mergeCell ref="A345:D345"/>
    <mergeCell ref="A367:D367"/>
    <mergeCell ref="A357:D357"/>
    <mergeCell ref="A358:D358"/>
    <mergeCell ref="A359:D359"/>
    <mergeCell ref="A365:D365"/>
    <mergeCell ref="A366:D366"/>
    <mergeCell ref="E357:F357"/>
    <mergeCell ref="A360:D360"/>
    <mergeCell ref="A361:A364"/>
    <mergeCell ref="A291:D291"/>
    <mergeCell ref="E291:F291"/>
    <mergeCell ref="A292:D292"/>
    <mergeCell ref="A293:D293"/>
    <mergeCell ref="A294:D294"/>
    <mergeCell ref="A295:A298"/>
    <mergeCell ref="A299:D299"/>
    <mergeCell ref="A300:D300"/>
    <mergeCell ref="A301:D301"/>
  </mergeCells>
  <phoneticPr fontId="3" type="noConversion"/>
  <pageMargins left="0.78740157480314965" right="0.78740157480314965" top="0.78740157480314965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18"/>
  <sheetViews>
    <sheetView view="pageBreakPreview" zoomScaleNormal="100" zoomScaleSheetLayoutView="100" workbookViewId="0">
      <selection activeCell="O25" sqref="O25"/>
    </sheetView>
  </sheetViews>
  <sheetFormatPr defaultRowHeight="12"/>
  <cols>
    <col min="1" max="1" width="2.21875" style="531" customWidth="1"/>
    <col min="2" max="2" width="16.109375" style="531" customWidth="1"/>
    <col min="3" max="3" width="2.21875" style="531" customWidth="1"/>
    <col min="4" max="10" width="11.33203125" style="531" customWidth="1"/>
    <col min="11" max="11" width="11.77734375" style="531" customWidth="1"/>
    <col min="12" max="13" width="8.88671875" style="531"/>
    <col min="14" max="18" width="12.5546875" style="531" customWidth="1"/>
    <col min="19" max="16384" width="8.88671875" style="531"/>
  </cols>
  <sheetData>
    <row r="1" spans="1:18" ht="20.100000000000001" customHeight="1">
      <c r="A1" s="1" t="str">
        <f>"[ 표 : "&amp;L1&amp;" ] "</f>
        <v xml:space="preserve">[ 표 : 10 ] </v>
      </c>
      <c r="L1" s="531">
        <f>기본급추정!O1+1</f>
        <v>10</v>
      </c>
      <c r="N1" s="531" t="s">
        <v>907</v>
      </c>
    </row>
    <row r="2" spans="1:18" ht="39.950000000000003" customHeight="1">
      <c r="A2" s="532" t="s">
        <v>385</v>
      </c>
      <c r="B2" s="533"/>
      <c r="C2" s="533"/>
      <c r="D2" s="533"/>
      <c r="E2" s="533"/>
      <c r="F2" s="533"/>
      <c r="G2" s="533"/>
      <c r="H2" s="533"/>
      <c r="I2" s="533"/>
      <c r="J2" s="533"/>
      <c r="K2" s="533"/>
    </row>
    <row r="3" spans="1:18" ht="12.75" customHeight="1">
      <c r="A3" s="533"/>
      <c r="B3" s="533"/>
      <c r="C3" s="533"/>
      <c r="D3" s="533"/>
      <c r="E3" s="533"/>
      <c r="F3" s="533"/>
      <c r="G3" s="533"/>
      <c r="H3" s="533"/>
      <c r="I3" s="533"/>
      <c r="J3" s="533"/>
      <c r="K3" s="533"/>
      <c r="R3" s="531" t="s">
        <v>908</v>
      </c>
    </row>
    <row r="4" spans="1:18" ht="20.100000000000001" customHeight="1" thickBot="1">
      <c r="K4" s="534" t="s">
        <v>386</v>
      </c>
    </row>
    <row r="5" spans="1:18" ht="50.1" customHeight="1">
      <c r="A5" s="535" t="s">
        <v>387</v>
      </c>
      <c r="B5" s="536"/>
      <c r="C5" s="537"/>
      <c r="D5" s="538" t="s">
        <v>388</v>
      </c>
      <c r="E5" s="538" t="s">
        <v>389</v>
      </c>
      <c r="F5" s="538" t="s">
        <v>390</v>
      </c>
      <c r="G5" s="539" t="s">
        <v>391</v>
      </c>
      <c r="H5" s="796" t="s">
        <v>392</v>
      </c>
      <c r="I5" s="540" t="s">
        <v>393</v>
      </c>
      <c r="J5" s="541" t="s">
        <v>394</v>
      </c>
      <c r="K5" s="537" t="s">
        <v>395</v>
      </c>
      <c r="N5" s="531" t="s">
        <v>909</v>
      </c>
      <c r="P5" s="531" t="s">
        <v>910</v>
      </c>
      <c r="Q5" s="531" t="s">
        <v>911</v>
      </c>
      <c r="R5" s="531" t="s">
        <v>912</v>
      </c>
    </row>
    <row r="6" spans="1:18" ht="20.100000000000001" customHeight="1">
      <c r="A6" s="535"/>
      <c r="B6" s="536"/>
      <c r="C6" s="537"/>
      <c r="D6" s="542"/>
      <c r="E6" s="542"/>
      <c r="F6" s="542"/>
      <c r="G6" s="543"/>
      <c r="H6" s="797"/>
      <c r="I6" s="544"/>
      <c r="J6" s="542"/>
      <c r="K6" s="537"/>
      <c r="N6" s="531" t="s">
        <v>359</v>
      </c>
      <c r="P6" s="510">
        <v>424902</v>
      </c>
      <c r="Q6" s="510">
        <v>220843</v>
      </c>
      <c r="R6" s="531" t="s">
        <v>913</v>
      </c>
    </row>
    <row r="7" spans="1:18" ht="30" customHeight="1">
      <c r="A7" s="545"/>
      <c r="B7" s="546" t="s">
        <v>396</v>
      </c>
      <c r="C7" s="547"/>
      <c r="D7" s="792">
        <v>445789</v>
      </c>
      <c r="E7" s="792">
        <v>431962</v>
      </c>
      <c r="F7" s="792">
        <v>417280</v>
      </c>
      <c r="G7" s="793">
        <v>432440</v>
      </c>
      <c r="H7" s="800">
        <v>424902</v>
      </c>
      <c r="I7" s="798">
        <v>539581</v>
      </c>
      <c r="J7" s="806">
        <v>400781</v>
      </c>
      <c r="K7" s="809"/>
      <c r="N7" s="548" t="s">
        <v>360</v>
      </c>
      <c r="P7" s="510">
        <v>322680</v>
      </c>
      <c r="Q7" s="510">
        <v>167711</v>
      </c>
    </row>
    <row r="8" spans="1:18" ht="30" customHeight="1">
      <c r="A8" s="545"/>
      <c r="B8" s="546" t="s">
        <v>397</v>
      </c>
      <c r="C8" s="547"/>
      <c r="D8" s="794">
        <v>367153</v>
      </c>
      <c r="E8" s="794">
        <v>325361</v>
      </c>
      <c r="F8" s="794">
        <v>310245</v>
      </c>
      <c r="G8" s="795">
        <v>335638</v>
      </c>
      <c r="H8" s="801">
        <v>322680</v>
      </c>
      <c r="I8" s="799">
        <v>450664</v>
      </c>
      <c r="J8" s="806">
        <v>325337</v>
      </c>
      <c r="K8" s="810"/>
      <c r="N8" s="548" t="s">
        <v>361</v>
      </c>
      <c r="P8" s="510">
        <v>293753</v>
      </c>
      <c r="Q8" s="510">
        <v>152676</v>
      </c>
    </row>
    <row r="9" spans="1:18" ht="30" customHeight="1">
      <c r="A9" s="545"/>
      <c r="B9" s="546" t="s">
        <v>398</v>
      </c>
      <c r="C9" s="547"/>
      <c r="D9" s="794">
        <v>313547</v>
      </c>
      <c r="E9" s="794">
        <v>285820</v>
      </c>
      <c r="F9" s="794">
        <v>281987</v>
      </c>
      <c r="G9" s="795">
        <v>282545</v>
      </c>
      <c r="H9" s="801">
        <v>293753</v>
      </c>
      <c r="I9" s="799">
        <v>361182</v>
      </c>
      <c r="J9" s="807">
        <v>280031</v>
      </c>
      <c r="K9" s="810"/>
      <c r="N9" s="548" t="s">
        <v>362</v>
      </c>
      <c r="P9" s="510">
        <v>246709</v>
      </c>
      <c r="Q9" s="510">
        <v>128226</v>
      </c>
    </row>
    <row r="10" spans="1:18" ht="30" customHeight="1">
      <c r="A10" s="545"/>
      <c r="B10" s="546" t="s">
        <v>399</v>
      </c>
      <c r="C10" s="547"/>
      <c r="D10" s="794">
        <v>266506</v>
      </c>
      <c r="E10" s="794">
        <v>268378</v>
      </c>
      <c r="F10" s="794">
        <v>254590</v>
      </c>
      <c r="G10" s="795">
        <v>261571</v>
      </c>
      <c r="H10" s="801">
        <v>246709</v>
      </c>
      <c r="I10" s="799">
        <v>324116</v>
      </c>
      <c r="J10" s="807">
        <v>228300</v>
      </c>
      <c r="K10" s="810"/>
      <c r="N10" s="548" t="s">
        <v>363</v>
      </c>
      <c r="P10" s="510">
        <v>217342</v>
      </c>
      <c r="Q10" s="510">
        <v>112962</v>
      </c>
    </row>
    <row r="11" spans="1:18" ht="30" customHeight="1">
      <c r="A11" s="545"/>
      <c r="B11" s="546" t="s">
        <v>400</v>
      </c>
      <c r="C11" s="547"/>
      <c r="D11" s="794">
        <v>228792</v>
      </c>
      <c r="E11" s="794">
        <v>224434</v>
      </c>
      <c r="F11" s="794">
        <v>218500</v>
      </c>
      <c r="G11" s="795">
        <v>205686</v>
      </c>
      <c r="H11" s="801">
        <v>217342</v>
      </c>
      <c r="I11" s="799">
        <v>267042</v>
      </c>
      <c r="J11" s="806">
        <v>202067</v>
      </c>
      <c r="K11" s="810"/>
      <c r="N11" s="548" t="s">
        <v>364</v>
      </c>
      <c r="P11" s="510">
        <v>234982</v>
      </c>
      <c r="Q11" s="510">
        <v>122130</v>
      </c>
    </row>
    <row r="12" spans="1:18" ht="30" customHeight="1">
      <c r="A12" s="545"/>
      <c r="B12" s="546" t="s">
        <v>401</v>
      </c>
      <c r="C12" s="547"/>
      <c r="D12" s="794">
        <v>273502</v>
      </c>
      <c r="E12" s="794">
        <v>283141</v>
      </c>
      <c r="F12" s="794">
        <v>232694</v>
      </c>
      <c r="G12" s="795">
        <v>240947</v>
      </c>
      <c r="H12" s="801">
        <v>234982</v>
      </c>
      <c r="I12" s="799">
        <v>324521</v>
      </c>
      <c r="J12" s="806">
        <v>250442</v>
      </c>
      <c r="K12" s="809"/>
      <c r="N12" s="548" t="s">
        <v>365</v>
      </c>
      <c r="P12" s="510">
        <v>209077</v>
      </c>
      <c r="Q12" s="510">
        <v>108667</v>
      </c>
    </row>
    <row r="13" spans="1:18" ht="30" customHeight="1">
      <c r="A13" s="545"/>
      <c r="B13" s="546" t="s">
        <v>402</v>
      </c>
      <c r="C13" s="547"/>
      <c r="D13" s="794">
        <v>207122</v>
      </c>
      <c r="E13" s="794">
        <v>211043</v>
      </c>
      <c r="F13" s="794">
        <v>202588</v>
      </c>
      <c r="G13" s="795">
        <v>220894</v>
      </c>
      <c r="H13" s="801">
        <v>209077</v>
      </c>
      <c r="I13" s="799">
        <v>301470</v>
      </c>
      <c r="J13" s="806">
        <v>201395</v>
      </c>
      <c r="K13" s="809"/>
      <c r="N13" s="548" t="s">
        <v>366</v>
      </c>
      <c r="P13" s="510">
        <v>183671</v>
      </c>
      <c r="Q13" s="510">
        <v>95462</v>
      </c>
    </row>
    <row r="14" spans="1:18" ht="30" customHeight="1">
      <c r="A14" s="545"/>
      <c r="B14" s="546" t="s">
        <v>403</v>
      </c>
      <c r="C14" s="547"/>
      <c r="D14" s="794">
        <v>185413</v>
      </c>
      <c r="E14" s="794">
        <v>181762</v>
      </c>
      <c r="F14" s="794">
        <v>175059</v>
      </c>
      <c r="G14" s="795">
        <v>186909</v>
      </c>
      <c r="H14" s="801">
        <v>183671</v>
      </c>
      <c r="I14" s="799">
        <v>201653</v>
      </c>
      <c r="J14" s="806">
        <v>166204</v>
      </c>
      <c r="K14" s="809"/>
      <c r="N14" s="548" t="s">
        <v>914</v>
      </c>
      <c r="P14" s="510">
        <v>84618</v>
      </c>
      <c r="Q14" s="510">
        <v>84618</v>
      </c>
      <c r="R14" s="531" t="s">
        <v>915</v>
      </c>
    </row>
    <row r="15" spans="1:18" ht="20.100000000000001" customHeight="1" thickBot="1">
      <c r="A15" s="549"/>
      <c r="B15" s="550" t="s">
        <v>849</v>
      </c>
      <c r="C15" s="551"/>
      <c r="D15" s="802">
        <v>20.6</v>
      </c>
      <c r="E15" s="802">
        <v>20.6</v>
      </c>
      <c r="F15" s="802">
        <v>20.6</v>
      </c>
      <c r="G15" s="803">
        <v>20.6</v>
      </c>
      <c r="H15" s="804">
        <v>20.6</v>
      </c>
      <c r="I15" s="805">
        <v>20.6</v>
      </c>
      <c r="J15" s="808">
        <v>20.6</v>
      </c>
      <c r="K15" s="809"/>
      <c r="N15" s="531" t="s">
        <v>916</v>
      </c>
    </row>
    <row r="16" spans="1:18" ht="17.25" customHeight="1">
      <c r="A16" s="531" t="s">
        <v>848</v>
      </c>
    </row>
    <row r="17" spans="1:2" ht="17.25" customHeight="1">
      <c r="B17" s="531" t="s">
        <v>575</v>
      </c>
    </row>
    <row r="18" spans="1:2">
      <c r="A18" s="552"/>
    </row>
  </sheetData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landscape" r:id="rId1"/>
  <headerFooter alignWithMargins="0">
    <oddFooter>&amp;C&amp;"바탕체,보통"&amp;10- &amp;P -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view="pageBreakPreview" topLeftCell="A3" zoomScaleNormal="90" zoomScaleSheetLayoutView="100" workbookViewId="0">
      <selection activeCell="W21" sqref="W21"/>
    </sheetView>
  </sheetViews>
  <sheetFormatPr defaultRowHeight="12"/>
  <cols>
    <col min="1" max="1" width="6.88671875" style="34" customWidth="1"/>
    <col min="2" max="2" width="13.77734375" style="34" customWidth="1"/>
    <col min="3" max="3" width="1.44140625" style="34" customWidth="1"/>
    <col min="4" max="4" width="15.6640625" style="34" customWidth="1"/>
    <col min="5" max="5" width="1.44140625" style="34" customWidth="1"/>
    <col min="6" max="7" width="11.6640625" style="34" customWidth="1"/>
    <col min="8" max="8" width="8.21875" style="39" customWidth="1"/>
    <col min="9" max="9" width="11.6640625" style="39" customWidth="1"/>
    <col min="10" max="10" width="9.5546875" style="39" customWidth="1"/>
    <col min="11" max="11" width="12.5546875" style="34" hidden="1" customWidth="1"/>
    <col min="12" max="12" width="15.77734375" style="39" hidden="1" customWidth="1"/>
    <col min="13" max="13" width="12.6640625" style="34" hidden="1" customWidth="1"/>
    <col min="14" max="15" width="8.88671875" style="34" hidden="1" customWidth="1"/>
    <col min="16" max="16" width="9.44140625" style="34" hidden="1" customWidth="1"/>
    <col min="17" max="17" width="8.88671875" style="34" hidden="1" customWidth="1"/>
    <col min="18" max="18" width="0" style="34" hidden="1" customWidth="1"/>
    <col min="19" max="16384" width="8.88671875" style="34"/>
  </cols>
  <sheetData>
    <row r="1" spans="1:18" ht="20.100000000000001" customHeight="1">
      <c r="A1" s="1" t="str">
        <f>"[ 표 : "&amp;K1&amp;" ] "</f>
        <v xml:space="preserve">[ 표 : 8 ] </v>
      </c>
      <c r="B1" s="1"/>
      <c r="K1" s="34">
        <f>단위당인건비!I1+1</f>
        <v>8</v>
      </c>
      <c r="P1" s="1"/>
    </row>
    <row r="2" spans="1:18" s="36" customFormat="1" ht="30" customHeight="1">
      <c r="A2" s="35" t="s">
        <v>110</v>
      </c>
      <c r="B2" s="35"/>
      <c r="C2" s="553"/>
      <c r="D2" s="553"/>
      <c r="E2" s="553"/>
      <c r="F2" s="553"/>
      <c r="G2" s="553"/>
      <c r="H2" s="41"/>
      <c r="I2" s="41"/>
      <c r="J2" s="41"/>
      <c r="L2" s="554"/>
      <c r="P2" s="553"/>
    </row>
    <row r="3" spans="1:18" s="36" customFormat="1" ht="8.25" customHeight="1">
      <c r="A3" s="35"/>
      <c r="B3" s="35"/>
      <c r="C3" s="553"/>
      <c r="D3" s="553"/>
      <c r="E3" s="553"/>
      <c r="F3" s="553"/>
      <c r="G3" s="553"/>
      <c r="H3" s="41"/>
      <c r="I3" s="41"/>
      <c r="J3" s="41"/>
      <c r="L3" s="554"/>
      <c r="P3" s="553"/>
    </row>
    <row r="4" spans="1:18" ht="20.100000000000001" customHeight="1">
      <c r="A4" s="43"/>
      <c r="B4" s="43"/>
      <c r="C4" s="43"/>
      <c r="D4" s="43"/>
      <c r="E4" s="43"/>
      <c r="F4" s="43"/>
      <c r="G4" s="43"/>
      <c r="J4" s="163" t="s">
        <v>168</v>
      </c>
      <c r="P4" s="43"/>
    </row>
    <row r="5" spans="1:18" s="40" customFormat="1" ht="24.75" customHeight="1">
      <c r="A5" s="1369" t="s">
        <v>346</v>
      </c>
      <c r="B5" s="1374" t="s">
        <v>167</v>
      </c>
      <c r="C5" s="45"/>
      <c r="D5" s="1376" t="s">
        <v>112</v>
      </c>
      <c r="E5" s="555"/>
      <c r="F5" s="1370" t="s">
        <v>650</v>
      </c>
      <c r="G5" s="1370" t="s">
        <v>651</v>
      </c>
      <c r="H5" s="1370" t="s">
        <v>404</v>
      </c>
      <c r="I5" s="1370" t="s">
        <v>269</v>
      </c>
      <c r="J5" s="1372" t="s">
        <v>240</v>
      </c>
      <c r="K5" s="40">
        <f>ROUND((8*5+8)/7*365/12,0)</f>
        <v>209</v>
      </c>
      <c r="L5" s="556"/>
      <c r="P5" s="1369" t="s">
        <v>111</v>
      </c>
    </row>
    <row r="6" spans="1:18" s="40" customFormat="1" ht="24.75" customHeight="1">
      <c r="A6" s="1286"/>
      <c r="B6" s="1375"/>
      <c r="C6" s="53"/>
      <c r="D6" s="1377"/>
      <c r="E6" s="71"/>
      <c r="F6" s="1371"/>
      <c r="G6" s="1371"/>
      <c r="H6" s="1371"/>
      <c r="I6" s="1371"/>
      <c r="J6" s="1373"/>
      <c r="L6" s="556"/>
      <c r="P6" s="1286"/>
    </row>
    <row r="7" spans="1:18" s="40" customFormat="1" ht="25.5" customHeight="1">
      <c r="A7" s="37"/>
      <c r="B7" s="557"/>
      <c r="C7" s="558"/>
      <c r="D7" s="559"/>
      <c r="E7" s="560"/>
      <c r="F7" s="49" t="s">
        <v>136</v>
      </c>
      <c r="G7" s="49" t="s">
        <v>137</v>
      </c>
      <c r="H7" s="49" t="s">
        <v>138</v>
      </c>
      <c r="I7" s="49" t="s">
        <v>139</v>
      </c>
      <c r="J7" s="561"/>
      <c r="L7" s="343"/>
      <c r="P7" s="47"/>
    </row>
    <row r="8" spans="1:18" ht="25.5" customHeight="1">
      <c r="A8" s="269" t="str">
        <f>IF(투입인원!A8="","",투입인원!A8)</f>
        <v>관리팀</v>
      </c>
      <c r="B8" s="562" t="str">
        <f>IF(투입인원!B8="","",투입인원!B8)</f>
        <v>관리소장</v>
      </c>
      <c r="C8" s="47"/>
      <c r="D8" s="264" t="str">
        <f>IF(투입인원!D8="","",투입인원!D8)</f>
        <v>고급기술자</v>
      </c>
      <c r="E8" s="49"/>
      <c r="F8" s="563">
        <f>HLOOKUP(D8,기본급추정!$5:$11,5,FALSE)</f>
        <v>152676</v>
      </c>
      <c r="G8" s="563">
        <f>TRUNC(F8/8)</f>
        <v>19084</v>
      </c>
      <c r="H8" s="907">
        <v>20.6</v>
      </c>
      <c r="I8" s="307">
        <f>TRUNC(F8*H8)</f>
        <v>3145125</v>
      </c>
      <c r="J8" s="564"/>
      <c r="K8" s="39">
        <f>G8*209</f>
        <v>3988556</v>
      </c>
      <c r="L8" s="39">
        <f>F8/8*209</f>
        <v>3988660.5</v>
      </c>
      <c r="M8" s="314"/>
      <c r="P8" s="307" t="e">
        <f>CONCATENATE("제-",VLOOKUP(D8,#REF!,4,FALSE),"번")</f>
        <v>#REF!</v>
      </c>
      <c r="R8" s="34">
        <f>152676*20.6</f>
        <v>3145125.6</v>
      </c>
    </row>
    <row r="9" spans="1:18" ht="25.5" customHeight="1">
      <c r="A9" s="269" t="str">
        <f>IF(투입인원!A9="","",투입인원!A9)</f>
        <v>관리팀</v>
      </c>
      <c r="B9" s="562" t="str">
        <f>IF(투입인원!B9="","",투입인원!B9)</f>
        <v>관리팀장</v>
      </c>
      <c r="C9" s="47"/>
      <c r="D9" s="264" t="str">
        <f>IF(투입인원!D9="","",투입인원!D9)</f>
        <v>고급기술자</v>
      </c>
      <c r="E9" s="49"/>
      <c r="F9" s="563">
        <f>HLOOKUP(D9,기본급추정!$5:$11,5,FALSE)</f>
        <v>152676</v>
      </c>
      <c r="G9" s="563">
        <f t="shared" ref="G9:G14" si="0">TRUNC(F9/8)</f>
        <v>19084</v>
      </c>
      <c r="H9" s="907">
        <f t="shared" ref="H9:H24" si="1">H8</f>
        <v>20.6</v>
      </c>
      <c r="I9" s="307">
        <f t="shared" ref="I9:I18" si="2">TRUNC(F9*H9)</f>
        <v>3145125</v>
      </c>
      <c r="J9" s="564"/>
      <c r="K9" s="39">
        <f t="shared" ref="K9:K18" si="3">G9*209</f>
        <v>3988556</v>
      </c>
      <c r="L9" s="39">
        <f t="shared" ref="L9:L14" si="4">F9/8*209</f>
        <v>3988660.5</v>
      </c>
      <c r="M9" s="314"/>
      <c r="P9" s="307" t="e">
        <f>CONCATENATE("제-",VLOOKUP(D9,#REF!,4,FALSE),"번")</f>
        <v>#REF!</v>
      </c>
    </row>
    <row r="10" spans="1:18" ht="25.5" customHeight="1">
      <c r="A10" s="269" t="str">
        <f>IF(투입인원!A10="","",투입인원!A10)</f>
        <v>관리팀</v>
      </c>
      <c r="B10" s="562" t="str">
        <f>IF(투입인원!B10="","",투입인원!B10)</f>
        <v>관리팀원</v>
      </c>
      <c r="C10" s="47"/>
      <c r="D10" s="264" t="str">
        <f>IF(투입인원!D10="","",투입인원!D10)</f>
        <v>초급숙련기술자</v>
      </c>
      <c r="E10" s="49"/>
      <c r="F10" s="563">
        <f>HLOOKUP(D10,기본급추정!$5:$11,5,FALSE)</f>
        <v>95462</v>
      </c>
      <c r="G10" s="563">
        <f t="shared" ref="G10" si="5">TRUNC(F10/8)</f>
        <v>11932</v>
      </c>
      <c r="H10" s="907">
        <f t="shared" si="1"/>
        <v>20.6</v>
      </c>
      <c r="I10" s="307">
        <f t="shared" ref="I10" si="6">TRUNC(F10*H10)</f>
        <v>1966517</v>
      </c>
      <c r="J10" s="564"/>
      <c r="K10" s="39"/>
      <c r="M10" s="314"/>
      <c r="P10" s="307"/>
    </row>
    <row r="11" spans="1:18" ht="25.5" customHeight="1">
      <c r="A11" s="269" t="str">
        <f>IF(투입인원!A11="","",투입인원!A11)</f>
        <v>운영팀</v>
      </c>
      <c r="B11" s="562" t="str">
        <f>IF(투입인원!B11="","",투입인원!B11)</f>
        <v>전기팀장</v>
      </c>
      <c r="C11" s="47"/>
      <c r="D11" s="264" t="str">
        <f>IF(투입인원!D11="","",투입인원!D11)</f>
        <v>중급기술자</v>
      </c>
      <c r="E11" s="49"/>
      <c r="F11" s="563">
        <f>HLOOKUP(D11,기본급추정!$5:$11,5,FALSE)</f>
        <v>128226</v>
      </c>
      <c r="G11" s="563">
        <f t="shared" si="0"/>
        <v>16028</v>
      </c>
      <c r="H11" s="907">
        <f t="shared" si="1"/>
        <v>20.6</v>
      </c>
      <c r="I11" s="307">
        <f t="shared" si="2"/>
        <v>2641455</v>
      </c>
      <c r="J11" s="564"/>
      <c r="K11" s="39">
        <f t="shared" si="3"/>
        <v>3349852</v>
      </c>
      <c r="L11" s="39">
        <f t="shared" si="4"/>
        <v>3349904.25</v>
      </c>
      <c r="M11" s="314"/>
      <c r="P11" s="307" t="e">
        <f>CONCATENATE("제-",VLOOKUP(D11,#REF!,4,FALSE),"번")</f>
        <v>#REF!</v>
      </c>
    </row>
    <row r="12" spans="1:18" ht="25.5" customHeight="1">
      <c r="A12" s="269" t="str">
        <f>IF(투입인원!A12="","",투입인원!A12)</f>
        <v>운영팀</v>
      </c>
      <c r="B12" s="562" t="str">
        <f>IF(투입인원!B12="","",투입인원!B12)</f>
        <v>기계팀장</v>
      </c>
      <c r="C12" s="47"/>
      <c r="D12" s="264" t="str">
        <f>IF(투입인원!D12="","",투입인원!D12)</f>
        <v>중급기술자</v>
      </c>
      <c r="E12" s="49"/>
      <c r="F12" s="563">
        <f>HLOOKUP(D12,기본급추정!$5:$11,5,FALSE)</f>
        <v>128226</v>
      </c>
      <c r="G12" s="563">
        <f t="shared" si="0"/>
        <v>16028</v>
      </c>
      <c r="H12" s="907">
        <f t="shared" si="1"/>
        <v>20.6</v>
      </c>
      <c r="I12" s="307">
        <f t="shared" si="2"/>
        <v>2641455</v>
      </c>
      <c r="J12" s="564"/>
      <c r="K12" s="39">
        <f t="shared" si="3"/>
        <v>3349852</v>
      </c>
      <c r="L12" s="39">
        <f t="shared" si="4"/>
        <v>3349904.25</v>
      </c>
      <c r="M12" s="314"/>
      <c r="P12" s="307" t="e">
        <f>CONCATENATE("제-",VLOOKUP(D12,#REF!,4,FALSE),"번")</f>
        <v>#REF!</v>
      </c>
    </row>
    <row r="13" spans="1:18" ht="25.5" customHeight="1">
      <c r="A13" s="269" t="str">
        <f>IF(투입인원!A13="","",투입인원!A13)</f>
        <v>운영팀</v>
      </c>
      <c r="B13" s="562" t="str">
        <f>IF(투입인원!B13="","",투입인원!B13)</f>
        <v>전기담당</v>
      </c>
      <c r="C13" s="47"/>
      <c r="D13" s="264" t="str">
        <f>IF(투입인원!D13="","",투입인원!D13)</f>
        <v>초급기술자</v>
      </c>
      <c r="E13" s="49"/>
      <c r="F13" s="563">
        <f>HLOOKUP(D13,기본급추정!$5:$11,5,FALSE)</f>
        <v>112962</v>
      </c>
      <c r="G13" s="563">
        <f t="shared" si="0"/>
        <v>14120</v>
      </c>
      <c r="H13" s="907">
        <f t="shared" si="1"/>
        <v>20.6</v>
      </c>
      <c r="I13" s="307">
        <f t="shared" si="2"/>
        <v>2327017</v>
      </c>
      <c r="J13" s="564"/>
      <c r="K13" s="39">
        <f t="shared" si="3"/>
        <v>2951080</v>
      </c>
      <c r="L13" s="39">
        <f t="shared" si="4"/>
        <v>2951132.25</v>
      </c>
      <c r="M13" s="314"/>
      <c r="P13" s="307" t="e">
        <f>CONCATENATE("제-",VLOOKUP(D13,#REF!,4,FALSE),"번")</f>
        <v>#REF!</v>
      </c>
    </row>
    <row r="14" spans="1:18" ht="25.5" customHeight="1">
      <c r="A14" s="269" t="str">
        <f>IF(투입인원!A14="","",투입인원!A14)</f>
        <v>운영팀</v>
      </c>
      <c r="B14" s="562" t="str">
        <f>IF(투입인원!B14="","",투입인원!B14)</f>
        <v>기계담당</v>
      </c>
      <c r="C14" s="47"/>
      <c r="D14" s="264" t="str">
        <f>IF(투입인원!D14="","",투입인원!D14)</f>
        <v>초급기술자</v>
      </c>
      <c r="E14" s="49"/>
      <c r="F14" s="563">
        <f>HLOOKUP(D14,기본급추정!$5:$11,5,FALSE)</f>
        <v>112962</v>
      </c>
      <c r="G14" s="563">
        <f t="shared" si="0"/>
        <v>14120</v>
      </c>
      <c r="H14" s="907">
        <f t="shared" si="1"/>
        <v>20.6</v>
      </c>
      <c r="I14" s="307">
        <f t="shared" si="2"/>
        <v>2327017</v>
      </c>
      <c r="J14" s="564"/>
      <c r="K14" s="39">
        <f t="shared" si="3"/>
        <v>2951080</v>
      </c>
      <c r="L14" s="39">
        <f t="shared" si="4"/>
        <v>2951132.25</v>
      </c>
      <c r="M14" s="314"/>
      <c r="P14" s="307" t="e">
        <f>CONCATENATE("제-",VLOOKUP(D14,#REF!,4,FALSE),"번")</f>
        <v>#REF!</v>
      </c>
    </row>
    <row r="15" spans="1:18" ht="25.5" customHeight="1">
      <c r="A15" s="269" t="str">
        <f>IF(투입인원!A15="","",투입인원!A15)</f>
        <v>운영팀</v>
      </c>
      <c r="B15" s="562" t="str">
        <f>IF(투입인원!B15="","",투입인원!B15)</f>
        <v>전기담당</v>
      </c>
      <c r="C15" s="47"/>
      <c r="D15" s="264" t="str">
        <f>IF(투입인원!D15="","",투입인원!D15)</f>
        <v>고급숙련기술자</v>
      </c>
      <c r="E15" s="49"/>
      <c r="F15" s="563">
        <f>HLOOKUP(D15,기본급추정!$5:$11,5,FALSE)</f>
        <v>122130</v>
      </c>
      <c r="G15" s="563">
        <f t="shared" ref="G15:G24" si="7">TRUNC(F15/8)</f>
        <v>15266</v>
      </c>
      <c r="H15" s="907">
        <f t="shared" si="1"/>
        <v>20.6</v>
      </c>
      <c r="I15" s="307">
        <f t="shared" si="2"/>
        <v>2515878</v>
      </c>
      <c r="J15" s="564"/>
      <c r="K15" s="39">
        <f t="shared" si="3"/>
        <v>3190594</v>
      </c>
      <c r="L15" s="39">
        <f>F15/8*209</f>
        <v>3190646.25</v>
      </c>
      <c r="M15" s="314"/>
      <c r="P15" s="307" t="e">
        <f>CONCATENATE("제-",VLOOKUP(D15,#REF!,4,FALSE),"번")</f>
        <v>#REF!</v>
      </c>
    </row>
    <row r="16" spans="1:18" ht="25.5" customHeight="1">
      <c r="A16" s="269" t="str">
        <f>IF(투입인원!A16="","",투입인원!A16)</f>
        <v>운영팀</v>
      </c>
      <c r="B16" s="562" t="str">
        <f>IF(투입인원!B16="","",투입인원!B16)</f>
        <v>기계담당</v>
      </c>
      <c r="C16" s="47"/>
      <c r="D16" s="264" t="str">
        <f>IF(투입인원!D16="","",투입인원!D16)</f>
        <v>고급숙련기술자</v>
      </c>
      <c r="E16" s="49"/>
      <c r="F16" s="563">
        <f>HLOOKUP(D16,기본급추정!$5:$11,5,FALSE)</f>
        <v>122130</v>
      </c>
      <c r="G16" s="563">
        <f t="shared" si="7"/>
        <v>15266</v>
      </c>
      <c r="H16" s="907">
        <f t="shared" si="1"/>
        <v>20.6</v>
      </c>
      <c r="I16" s="307">
        <f t="shared" si="2"/>
        <v>2515878</v>
      </c>
      <c r="J16" s="564"/>
      <c r="K16" s="39">
        <f t="shared" si="3"/>
        <v>3190594</v>
      </c>
      <c r="L16" s="39">
        <f>F16/8*209</f>
        <v>3190646.25</v>
      </c>
      <c r="M16" s="314"/>
      <c r="P16" s="307" t="e">
        <f>CONCATENATE("제-",VLOOKUP(D16,#REF!,4,FALSE),"번")</f>
        <v>#REF!</v>
      </c>
    </row>
    <row r="17" spans="1:16" ht="25.5" customHeight="1">
      <c r="A17" s="269" t="str">
        <f>IF(투입인원!A17="","",투입인원!A17)</f>
        <v>운영팀</v>
      </c>
      <c r="B17" s="562" t="str">
        <f>IF(투입인원!B17="","",투입인원!B17)</f>
        <v>전기담당</v>
      </c>
      <c r="C17" s="47"/>
      <c r="D17" s="264" t="str">
        <f>IF(투입인원!D17="","",투입인원!D17)</f>
        <v>중급숙련기술자</v>
      </c>
      <c r="E17" s="49"/>
      <c r="F17" s="563">
        <f>HLOOKUP(D17,기본급추정!$5:$11,5,FALSE)</f>
        <v>108667</v>
      </c>
      <c r="G17" s="563">
        <f t="shared" si="7"/>
        <v>13583</v>
      </c>
      <c r="H17" s="907">
        <f t="shared" si="1"/>
        <v>20.6</v>
      </c>
      <c r="I17" s="307">
        <f t="shared" si="2"/>
        <v>2238540</v>
      </c>
      <c r="J17" s="564"/>
      <c r="K17" s="39">
        <f t="shared" si="3"/>
        <v>2838847</v>
      </c>
      <c r="L17" s="39">
        <f>F17/8*209</f>
        <v>2838925.375</v>
      </c>
      <c r="M17" s="314"/>
      <c r="P17" s="307" t="e">
        <f>CONCATENATE("제-",VLOOKUP(D17,#REF!,4,FALSE),"번")</f>
        <v>#REF!</v>
      </c>
    </row>
    <row r="18" spans="1:16" ht="25.5" customHeight="1">
      <c r="A18" s="269" t="str">
        <f>IF(투입인원!A18="","",투입인원!A18)</f>
        <v>운영팀</v>
      </c>
      <c r="B18" s="562" t="str">
        <f>IF(투입인원!B18="","",투입인원!B18)</f>
        <v>기계담당</v>
      </c>
      <c r="C18" s="47"/>
      <c r="D18" s="264" t="str">
        <f>IF(투입인원!D18="","",투입인원!D18)</f>
        <v>중급숙련기술자</v>
      </c>
      <c r="E18" s="49"/>
      <c r="F18" s="563">
        <f>HLOOKUP(D18,기본급추정!$5:$11,5,FALSE)</f>
        <v>108667</v>
      </c>
      <c r="G18" s="563">
        <f t="shared" si="7"/>
        <v>13583</v>
      </c>
      <c r="H18" s="907">
        <f t="shared" si="1"/>
        <v>20.6</v>
      </c>
      <c r="I18" s="307">
        <f t="shared" si="2"/>
        <v>2238540</v>
      </c>
      <c r="J18" s="564"/>
      <c r="K18" s="39">
        <f t="shared" si="3"/>
        <v>2838847</v>
      </c>
      <c r="L18" s="39">
        <f>F18/8*209</f>
        <v>2838925.375</v>
      </c>
      <c r="M18" s="314"/>
      <c r="P18" s="307" t="e">
        <f>CONCATENATE("제-",VLOOKUP(D18,#REF!,4,FALSE),"번")</f>
        <v>#REF!</v>
      </c>
    </row>
    <row r="19" spans="1:16" ht="25.5" customHeight="1">
      <c r="A19" s="269" t="str">
        <f>IF(투입인원!A19="","",투입인원!A19)</f>
        <v>운영팀</v>
      </c>
      <c r="B19" s="562" t="str">
        <f>IF(투입인원!B19="","",투입인원!B19)</f>
        <v>전기담당</v>
      </c>
      <c r="C19" s="47"/>
      <c r="D19" s="264" t="str">
        <f>IF(투입인원!D19="","",투입인원!D19)</f>
        <v>초급숙련기술자</v>
      </c>
      <c r="E19" s="49"/>
      <c r="F19" s="563">
        <f>HLOOKUP(D19,기본급추정!$5:$11,5,FALSE)</f>
        <v>95462</v>
      </c>
      <c r="G19" s="563">
        <f t="shared" si="7"/>
        <v>11932</v>
      </c>
      <c r="H19" s="907">
        <f t="shared" si="1"/>
        <v>20.6</v>
      </c>
      <c r="I19" s="307">
        <f t="shared" ref="I19:I20" si="8">TRUNC(F19*H19)</f>
        <v>1966517</v>
      </c>
      <c r="J19" s="564"/>
      <c r="K19" s="39"/>
      <c r="M19" s="314"/>
      <c r="P19" s="307"/>
    </row>
    <row r="20" spans="1:16" ht="25.5" customHeight="1">
      <c r="A20" s="269" t="str">
        <f>IF(투입인원!A20="","",투입인원!A20)</f>
        <v>운영팀</v>
      </c>
      <c r="B20" s="562" t="str">
        <f>IF(투입인원!B20="","",투입인원!B20)</f>
        <v>기계담당</v>
      </c>
      <c r="C20" s="47"/>
      <c r="D20" s="264" t="str">
        <f>IF(투입인원!D20="","",투입인원!D20)</f>
        <v>초급숙련기술자</v>
      </c>
      <c r="E20" s="49"/>
      <c r="F20" s="563">
        <f>HLOOKUP(D20,기본급추정!$5:$11,5,FALSE)</f>
        <v>95462</v>
      </c>
      <c r="G20" s="563">
        <f t="shared" si="7"/>
        <v>11932</v>
      </c>
      <c r="H20" s="907">
        <f t="shared" si="1"/>
        <v>20.6</v>
      </c>
      <c r="I20" s="307">
        <f t="shared" si="8"/>
        <v>1966517</v>
      </c>
      <c r="J20" s="564"/>
      <c r="K20" s="39"/>
      <c r="M20" s="314"/>
      <c r="P20" s="307"/>
    </row>
    <row r="21" spans="1:16" ht="25.5" customHeight="1">
      <c r="A21" s="269" t="str">
        <f>IF(투입인원!A21="","",투입인원!A21)</f>
        <v>환경팀</v>
      </c>
      <c r="B21" s="562" t="str">
        <f>IF(투입인원!B21="","",투입인원!B21)</f>
        <v>환경팀장</v>
      </c>
      <c r="C21" s="47"/>
      <c r="D21" s="264" t="str">
        <f>IF(투입인원!D21="","",투입인원!D21)</f>
        <v>초급숙련기술자</v>
      </c>
      <c r="E21" s="49"/>
      <c r="F21" s="563">
        <f>HLOOKUP(D21,기본급추정!$5:$11,5,FALSE)</f>
        <v>95462</v>
      </c>
      <c r="G21" s="563">
        <f t="shared" ref="G21" si="9">TRUNC(F21/8)</f>
        <v>11932</v>
      </c>
      <c r="H21" s="907">
        <f t="shared" si="1"/>
        <v>20.6</v>
      </c>
      <c r="I21" s="307">
        <f t="shared" ref="I21" si="10">TRUNC(F21*H21)</f>
        <v>1966517</v>
      </c>
      <c r="J21" s="564"/>
      <c r="K21" s="39"/>
      <c r="M21" s="314"/>
      <c r="P21" s="307"/>
    </row>
    <row r="22" spans="1:16" ht="25.5" customHeight="1">
      <c r="A22" s="269" t="str">
        <f>IF(투입인원!A22="","",투입인원!A22)</f>
        <v>환경팀</v>
      </c>
      <c r="B22" s="908" t="str">
        <f>IF(투입인원!B22="","",투입인원!B22)</f>
        <v>환경팀원</v>
      </c>
      <c r="C22" s="47"/>
      <c r="D22" s="264" t="str">
        <f>IF(투입인원!D22="","",투입인원!D22)</f>
        <v>단순노무종사원</v>
      </c>
      <c r="E22" s="49"/>
      <c r="F22" s="563">
        <f>HLOOKUP(D22,기본급추정!$5:$11,5,FALSE)</f>
        <v>84618</v>
      </c>
      <c r="G22" s="563">
        <f t="shared" si="7"/>
        <v>10577</v>
      </c>
      <c r="H22" s="907">
        <f t="shared" si="1"/>
        <v>20.6</v>
      </c>
      <c r="I22" s="307">
        <f>TRUNC(F22*H22)</f>
        <v>1743130</v>
      </c>
      <c r="J22" s="564"/>
      <c r="K22" s="39"/>
      <c r="M22" s="314"/>
      <c r="P22" s="307"/>
    </row>
    <row r="23" spans="1:16" ht="25.5" customHeight="1">
      <c r="A23" s="269" t="str">
        <f>IF(투입인원!A23="","",투입인원!A23)</f>
        <v>운반팀</v>
      </c>
      <c r="B23" s="562" t="str">
        <f>IF(투입인원!B23="","",투입인원!B23)</f>
        <v>운전원</v>
      </c>
      <c r="C23" s="47"/>
      <c r="D23" s="264" t="str">
        <f>IF(투입인원!D23="","",투입인원!D23)</f>
        <v>초급숙련기술자</v>
      </c>
      <c r="E23" s="49"/>
      <c r="F23" s="563">
        <f>HLOOKUP(D23,기본급추정!$5:$11,5,FALSE)</f>
        <v>95462</v>
      </c>
      <c r="G23" s="563">
        <f t="shared" si="7"/>
        <v>11932</v>
      </c>
      <c r="H23" s="907">
        <f t="shared" si="1"/>
        <v>20.6</v>
      </c>
      <c r="I23" s="307">
        <f>TRUNC(F23*H23)</f>
        <v>1966517</v>
      </c>
      <c r="J23" s="564"/>
      <c r="K23" s="39"/>
      <c r="M23" s="314"/>
      <c r="P23" s="307"/>
    </row>
    <row r="24" spans="1:16" ht="25.5" customHeight="1">
      <c r="A24" s="269" t="str">
        <f>IF(투입인원!A24="","",투입인원!A24)</f>
        <v>운반팀</v>
      </c>
      <c r="B24" s="562" t="str">
        <f>IF(투입인원!B24="","",투입인원!B24)</f>
        <v>운반팀원</v>
      </c>
      <c r="C24" s="47"/>
      <c r="D24" s="264" t="str">
        <f>IF(투입인원!D24="","",투입인원!D24)</f>
        <v>단순노무종사원</v>
      </c>
      <c r="E24" s="49"/>
      <c r="F24" s="563">
        <f>HLOOKUP(D24,기본급추정!$5:$11,5,FALSE)</f>
        <v>84618</v>
      </c>
      <c r="G24" s="563">
        <f t="shared" si="7"/>
        <v>10577</v>
      </c>
      <c r="H24" s="907">
        <f t="shared" si="1"/>
        <v>20.6</v>
      </c>
      <c r="I24" s="307">
        <f>TRUNC(F24*H24)</f>
        <v>1743130</v>
      </c>
      <c r="J24" s="564"/>
      <c r="K24" s="39">
        <f>G24*209</f>
        <v>2210593</v>
      </c>
      <c r="L24" s="39">
        <f>F24/8*209</f>
        <v>2210645.25</v>
      </c>
      <c r="M24" s="314"/>
      <c r="P24" s="307" t="e">
        <f>CONCATENATE("제-",VLOOKUP(D24,#REF!,4,FALSE),"번")</f>
        <v>#REF!</v>
      </c>
    </row>
    <row r="25" spans="1:16" ht="12" customHeight="1">
      <c r="A25" s="311"/>
      <c r="B25" s="311"/>
      <c r="C25" s="1212"/>
      <c r="D25" s="1213"/>
      <c r="E25" s="1212"/>
      <c r="F25" s="1214"/>
      <c r="G25" s="1214"/>
      <c r="H25" s="1215"/>
      <c r="I25" s="279"/>
      <c r="J25" s="1216"/>
      <c r="K25" s="39"/>
      <c r="M25" s="314"/>
      <c r="P25" s="279"/>
    </row>
    <row r="26" spans="1:16" s="12" customFormat="1" ht="24" customHeight="1">
      <c r="A26" s="69" t="str">
        <f>"주 1) 일(M/D)당기본급 : "&amp;기본급추정!A1&amp;기본급추정!A2&amp;" 및 제조노임단가(중소기업중앙회 발표)"</f>
        <v>주 1) 일(M/D)당기본급 : [ 표 : 9 ] 엔지니어링기술자노임단가 기본급추정 산출표 및 제조노임단가(중소기업중앙회 발표)</v>
      </c>
      <c r="H26" s="317"/>
      <c r="I26" s="317"/>
      <c r="J26" s="317"/>
      <c r="L26" s="317"/>
    </row>
    <row r="27" spans="1:16" s="12" customFormat="1" ht="24" customHeight="1">
      <c r="A27" s="69" t="s">
        <v>652</v>
      </c>
      <c r="H27" s="317"/>
      <c r="I27" s="317"/>
      <c r="J27" s="317"/>
      <c r="L27" s="317"/>
    </row>
    <row r="28" spans="1:16" s="12" customFormat="1" ht="24" customHeight="1">
      <c r="A28" s="69" t="str">
        <f>"   3) 월평균근무일수 :  엔지니어링 기술자 등급별 일 노임단가(한국엔지니어링협회 정책연구실-377호, "</f>
        <v xml:space="preserve">   3) 월평균근무일수 :  엔지니어링 기술자 등급별 일 노임단가(한국엔지니어링협회 정책연구실-377호, </v>
      </c>
      <c r="H28" s="317"/>
      <c r="I28" s="317"/>
      <c r="J28" s="317"/>
      <c r="L28" s="22" t="s">
        <v>303</v>
      </c>
      <c r="M28" s="31" t="s">
        <v>304</v>
      </c>
    </row>
    <row r="29" spans="1:16" s="12" customFormat="1" ht="24" customHeight="1">
      <c r="A29" s="69" t="s">
        <v>1030</v>
      </c>
      <c r="H29" s="317"/>
      <c r="I29" s="317"/>
      <c r="J29" s="317"/>
      <c r="L29" s="22"/>
      <c r="M29" s="31"/>
    </row>
    <row r="30" spans="1:16" s="12" customFormat="1" ht="24" customHeight="1">
      <c r="A30" s="69" t="s">
        <v>653</v>
      </c>
      <c r="H30" s="317"/>
      <c r="I30" s="317"/>
      <c r="J30" s="317"/>
      <c r="L30" s="22">
        <v>6470</v>
      </c>
      <c r="M30" s="338">
        <f>L30*209</f>
        <v>1352230</v>
      </c>
    </row>
    <row r="31" spans="1:16" s="12" customFormat="1" ht="30" customHeight="1">
      <c r="H31" s="317"/>
      <c r="I31" s="317"/>
      <c r="J31" s="317"/>
      <c r="L31" s="317"/>
    </row>
    <row r="32" spans="1:16" s="12" customFormat="1">
      <c r="H32" s="317"/>
      <c r="I32" s="317"/>
      <c r="J32" s="317"/>
      <c r="L32" s="317"/>
    </row>
    <row r="33" spans="8:12" s="12" customFormat="1">
      <c r="H33" s="317"/>
      <c r="I33" s="317"/>
      <c r="J33" s="317"/>
      <c r="L33" s="317"/>
    </row>
    <row r="34" spans="8:12" s="12" customFormat="1">
      <c r="H34" s="317"/>
      <c r="I34" s="317"/>
      <c r="J34" s="317"/>
      <c r="L34" s="317"/>
    </row>
    <row r="35" spans="8:12" s="12" customFormat="1">
      <c r="H35" s="317"/>
      <c r="I35" s="317"/>
      <c r="J35" s="317"/>
      <c r="L35" s="317"/>
    </row>
    <row r="36" spans="8:12" s="12" customFormat="1">
      <c r="H36" s="317"/>
      <c r="I36" s="317"/>
      <c r="J36" s="317"/>
      <c r="L36" s="317"/>
    </row>
    <row r="37" spans="8:12" s="12" customFormat="1">
      <c r="H37" s="317"/>
      <c r="I37" s="317"/>
      <c r="J37" s="317"/>
      <c r="K37" s="12">
        <f>ROUND((8*5)/7*365/12,0)</f>
        <v>174</v>
      </c>
      <c r="L37" s="317"/>
    </row>
    <row r="38" spans="8:12" s="12" customFormat="1">
      <c r="H38" s="317"/>
      <c r="I38" s="317"/>
      <c r="J38" s="317"/>
      <c r="L38" s="317"/>
    </row>
    <row r="39" spans="8:12" s="12" customFormat="1">
      <c r="H39" s="317"/>
      <c r="I39" s="317"/>
      <c r="J39" s="317"/>
      <c r="L39" s="317"/>
    </row>
    <row r="40" spans="8:12" s="12" customFormat="1">
      <c r="H40" s="317"/>
      <c r="I40" s="317"/>
      <c r="J40" s="317"/>
      <c r="L40" s="317"/>
    </row>
    <row r="41" spans="8:12" s="12" customFormat="1">
      <c r="H41" s="317"/>
      <c r="I41" s="317"/>
      <c r="J41" s="317"/>
      <c r="L41" s="317"/>
    </row>
    <row r="42" spans="8:12" s="12" customFormat="1">
      <c r="H42" s="317"/>
      <c r="I42" s="317"/>
      <c r="J42" s="317"/>
      <c r="L42" s="317"/>
    </row>
    <row r="43" spans="8:12" s="12" customFormat="1">
      <c r="H43" s="317"/>
      <c r="I43" s="317"/>
      <c r="J43" s="317"/>
      <c r="L43" s="317"/>
    </row>
  </sheetData>
  <mergeCells count="9">
    <mergeCell ref="A5:A6"/>
    <mergeCell ref="I5:I6"/>
    <mergeCell ref="J5:J6"/>
    <mergeCell ref="B5:B6"/>
    <mergeCell ref="P5:P6"/>
    <mergeCell ref="D5:D6"/>
    <mergeCell ref="F5:F6"/>
    <mergeCell ref="H5:H6"/>
    <mergeCell ref="G5:G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0" firstPageNumber="141" orientation="portrait" r:id="rId1"/>
  <headerFooter alignWithMargins="0">
    <oddFooter>&amp;C&amp;"바탕체,보통"&amp;12- &amp;P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33"/>
  <sheetViews>
    <sheetView view="pageBreakPreview" topLeftCell="A8" zoomScaleNormal="100" zoomScaleSheetLayoutView="100" workbookViewId="0">
      <selection activeCell="O25" sqref="O25"/>
    </sheetView>
  </sheetViews>
  <sheetFormatPr defaultRowHeight="12"/>
  <cols>
    <col min="1" max="1" width="7" style="3" customWidth="1"/>
    <col min="2" max="2" width="12" style="3" customWidth="1"/>
    <col min="3" max="3" width="10.44140625" style="3" customWidth="1"/>
    <col min="4" max="4" width="10.6640625" style="3" customWidth="1"/>
    <col min="5" max="13" width="14.33203125" style="3" customWidth="1"/>
    <col min="14" max="14" width="26.77734375" style="3" customWidth="1"/>
    <col min="15" max="15" width="12.77734375" style="3" customWidth="1"/>
    <col min="16" max="16384" width="8.88671875" style="3"/>
  </cols>
  <sheetData>
    <row r="1" spans="1:16" ht="20.100000000000001" customHeight="1">
      <c r="A1" s="33" t="str">
        <f>"[ 표 : "&amp;O1&amp;" ] "</f>
        <v xml:space="preserve">[ 표 : 9 ] </v>
      </c>
      <c r="O1" s="3">
        <f>월기본급!K1+1</f>
        <v>9</v>
      </c>
    </row>
    <row r="2" spans="1:16" ht="30" customHeight="1">
      <c r="A2" s="4" t="s">
        <v>568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3" spans="1:16" ht="20.100000000000001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</row>
    <row r="4" spans="1:16" ht="20.100000000000001" customHeight="1">
      <c r="N4" s="8" t="s">
        <v>367</v>
      </c>
    </row>
    <row r="5" spans="1:16" ht="30" customHeight="1">
      <c r="A5" s="1360" t="s">
        <v>350</v>
      </c>
      <c r="B5" s="1361"/>
      <c r="C5" s="1361"/>
      <c r="D5" s="1362"/>
      <c r="E5" s="31" t="s">
        <v>359</v>
      </c>
      <c r="F5" s="31" t="s">
        <v>360</v>
      </c>
      <c r="G5" s="31" t="s">
        <v>361</v>
      </c>
      <c r="H5" s="31" t="s">
        <v>362</v>
      </c>
      <c r="I5" s="31" t="s">
        <v>363</v>
      </c>
      <c r="J5" s="31" t="s">
        <v>364</v>
      </c>
      <c r="K5" s="31" t="s">
        <v>365</v>
      </c>
      <c r="L5" s="31" t="s">
        <v>366</v>
      </c>
      <c r="M5" s="31" t="s">
        <v>852</v>
      </c>
      <c r="N5" s="31" t="s">
        <v>351</v>
      </c>
    </row>
    <row r="6" spans="1:16" ht="27.95" customHeight="1">
      <c r="A6" s="1365" t="s">
        <v>352</v>
      </c>
      <c r="B6" s="1366"/>
      <c r="C6" s="1366"/>
      <c r="D6" s="1367"/>
      <c r="E6" s="663">
        <f>엔지니어노임!H7</f>
        <v>424902</v>
      </c>
      <c r="F6" s="663">
        <f>엔지니어노임!H8</f>
        <v>322680</v>
      </c>
      <c r="G6" s="663">
        <f>엔지니어노임!H9</f>
        <v>293753</v>
      </c>
      <c r="H6" s="663">
        <f>엔지니어노임!H10</f>
        <v>246709</v>
      </c>
      <c r="I6" s="663">
        <f>엔지니어노임!H11</f>
        <v>217342</v>
      </c>
      <c r="J6" s="663">
        <f>엔지니어노임!H12</f>
        <v>234982</v>
      </c>
      <c r="K6" s="663">
        <f>엔지니어노임!H13</f>
        <v>209077</v>
      </c>
      <c r="L6" s="663">
        <f>엔지니어노임!H14</f>
        <v>183671</v>
      </c>
      <c r="M6" s="663">
        <v>84618</v>
      </c>
      <c r="N6" s="664" t="str">
        <f>엔지니어노임!A1&amp;"참조"</f>
        <v>[ 표 : 10 ] 참조</v>
      </c>
    </row>
    <row r="7" spans="1:16" ht="27.95" customHeight="1">
      <c r="A7" s="1365" t="s">
        <v>353</v>
      </c>
      <c r="B7" s="1366"/>
      <c r="C7" s="1366"/>
      <c r="D7" s="1367"/>
      <c r="E7" s="811">
        <f>엔지니어노임!D15</f>
        <v>20.6</v>
      </c>
      <c r="F7" s="811">
        <f>E7</f>
        <v>20.6</v>
      </c>
      <c r="G7" s="811">
        <f t="shared" ref="G7:K7" si="0">F7</f>
        <v>20.6</v>
      </c>
      <c r="H7" s="811">
        <f t="shared" si="0"/>
        <v>20.6</v>
      </c>
      <c r="I7" s="811">
        <f t="shared" si="0"/>
        <v>20.6</v>
      </c>
      <c r="J7" s="811">
        <f t="shared" si="0"/>
        <v>20.6</v>
      </c>
      <c r="K7" s="811">
        <f t="shared" si="0"/>
        <v>20.6</v>
      </c>
      <c r="L7" s="811">
        <f>K7</f>
        <v>20.6</v>
      </c>
      <c r="M7" s="811">
        <v>20.6</v>
      </c>
      <c r="N7" s="276"/>
    </row>
    <row r="8" spans="1:16" ht="27.95" customHeight="1" thickBot="1">
      <c r="A8" s="1386" t="s">
        <v>354</v>
      </c>
      <c r="B8" s="1387"/>
      <c r="C8" s="1387"/>
      <c r="D8" s="1388"/>
      <c r="E8" s="665">
        <f>ROUND(E6*E7,0)</f>
        <v>8752981</v>
      </c>
      <c r="F8" s="665">
        <f t="shared" ref="F8:L8" si="1">ROUND(F6*F7,0)</f>
        <v>6647208</v>
      </c>
      <c r="G8" s="665">
        <f t="shared" si="1"/>
        <v>6051312</v>
      </c>
      <c r="H8" s="665">
        <f t="shared" si="1"/>
        <v>5082205</v>
      </c>
      <c r="I8" s="665">
        <f t="shared" si="1"/>
        <v>4477245</v>
      </c>
      <c r="J8" s="665">
        <f t="shared" si="1"/>
        <v>4840629</v>
      </c>
      <c r="K8" s="665">
        <f t="shared" si="1"/>
        <v>4306986</v>
      </c>
      <c r="L8" s="665">
        <f t="shared" si="1"/>
        <v>3783623</v>
      </c>
      <c r="M8" s="665">
        <f t="shared" ref="M8" si="2">ROUND(M6*M7,0)</f>
        <v>1743131</v>
      </c>
      <c r="N8" s="666"/>
    </row>
    <row r="9" spans="1:16" ht="27.95" customHeight="1" thickTop="1">
      <c r="A9" s="1393" t="s">
        <v>648</v>
      </c>
      <c r="B9" s="1394"/>
      <c r="C9" s="1394"/>
      <c r="D9" s="1395"/>
      <c r="E9" s="667">
        <f>엔지니어노임!Q6</f>
        <v>220843</v>
      </c>
      <c r="F9" s="667">
        <f>엔지니어노임!Q7</f>
        <v>167711</v>
      </c>
      <c r="G9" s="667">
        <f>엔지니어노임!Q8</f>
        <v>152676</v>
      </c>
      <c r="H9" s="667">
        <f>엔지니어노임!Q9</f>
        <v>128226</v>
      </c>
      <c r="I9" s="667">
        <f>엔지니어노임!Q10</f>
        <v>112962</v>
      </c>
      <c r="J9" s="667">
        <f>엔지니어노임!Q11</f>
        <v>122130</v>
      </c>
      <c r="K9" s="667">
        <f>엔지니어노임!Q12</f>
        <v>108667</v>
      </c>
      <c r="L9" s="667">
        <f>엔지니어노임!Q13</f>
        <v>95462</v>
      </c>
      <c r="M9" s="667">
        <f>엔지니어노임!Q14</f>
        <v>84618</v>
      </c>
      <c r="N9" s="668"/>
    </row>
    <row r="10" spans="1:16" ht="27.95" customHeight="1">
      <c r="A10" s="1365" t="s">
        <v>649</v>
      </c>
      <c r="B10" s="1366"/>
      <c r="C10" s="1366"/>
      <c r="D10" s="1367"/>
      <c r="E10" s="663">
        <f>ROUND(E9/8,0)</f>
        <v>27605</v>
      </c>
      <c r="F10" s="663">
        <f t="shared" ref="F10:L10" si="3">ROUND(F9/8,0)</f>
        <v>20964</v>
      </c>
      <c r="G10" s="663">
        <f t="shared" si="3"/>
        <v>19085</v>
      </c>
      <c r="H10" s="663">
        <f t="shared" si="3"/>
        <v>16028</v>
      </c>
      <c r="I10" s="663">
        <f t="shared" si="3"/>
        <v>14120</v>
      </c>
      <c r="J10" s="663">
        <f t="shared" si="3"/>
        <v>15266</v>
      </c>
      <c r="K10" s="663">
        <f t="shared" si="3"/>
        <v>13583</v>
      </c>
      <c r="L10" s="663">
        <f t="shared" si="3"/>
        <v>11933</v>
      </c>
      <c r="M10" s="663">
        <f t="shared" ref="M10" si="4">ROUND(M9/8,0)</f>
        <v>10577</v>
      </c>
      <c r="N10" s="412" t="s">
        <v>378</v>
      </c>
    </row>
    <row r="11" spans="1:16" ht="27.95" customHeight="1" thickBot="1">
      <c r="A11" s="1386" t="s">
        <v>380</v>
      </c>
      <c r="B11" s="1387"/>
      <c r="C11" s="1387"/>
      <c r="D11" s="1388"/>
      <c r="E11" s="665">
        <f t="shared" ref="E11:M11" si="5">ROUND(E10+(E16/209),0)</f>
        <v>34861</v>
      </c>
      <c r="F11" s="665">
        <f t="shared" si="5"/>
        <v>26474</v>
      </c>
      <c r="G11" s="665">
        <f t="shared" si="5"/>
        <v>24101</v>
      </c>
      <c r="H11" s="665">
        <f t="shared" si="5"/>
        <v>20241</v>
      </c>
      <c r="I11" s="665">
        <f t="shared" si="5"/>
        <v>17831</v>
      </c>
      <c r="J11" s="665">
        <f t="shared" si="5"/>
        <v>19279</v>
      </c>
      <c r="K11" s="665">
        <f t="shared" si="5"/>
        <v>17153</v>
      </c>
      <c r="L11" s="665">
        <f t="shared" si="5"/>
        <v>15069</v>
      </c>
      <c r="M11" s="665">
        <f t="shared" si="5"/>
        <v>13357</v>
      </c>
      <c r="N11" s="666" t="s">
        <v>379</v>
      </c>
    </row>
    <row r="12" spans="1:16" ht="27.95" customHeight="1" thickTop="1">
      <c r="A12" s="1389" t="s">
        <v>371</v>
      </c>
      <c r="B12" s="1380" t="s">
        <v>355</v>
      </c>
      <c r="C12" s="1391"/>
      <c r="D12" s="1392"/>
      <c r="E12" s="669">
        <f>ROUND(E9*E7,0)</f>
        <v>4549366</v>
      </c>
      <c r="F12" s="669">
        <f t="shared" ref="F12:L12" si="6">ROUND(F9*F7,0)</f>
        <v>3454847</v>
      </c>
      <c r="G12" s="669">
        <f t="shared" si="6"/>
        <v>3145126</v>
      </c>
      <c r="H12" s="669">
        <f t="shared" si="6"/>
        <v>2641456</v>
      </c>
      <c r="I12" s="669">
        <f t="shared" si="6"/>
        <v>2327017</v>
      </c>
      <c r="J12" s="669">
        <f t="shared" si="6"/>
        <v>2515878</v>
      </c>
      <c r="K12" s="669">
        <f t="shared" si="6"/>
        <v>2238540</v>
      </c>
      <c r="L12" s="669">
        <f t="shared" si="6"/>
        <v>1966517</v>
      </c>
      <c r="M12" s="669">
        <f t="shared" ref="M12" si="7">ROUND(M9*M7,0)</f>
        <v>1743131</v>
      </c>
      <c r="N12" s="670" t="s">
        <v>853</v>
      </c>
      <c r="P12" s="671"/>
    </row>
    <row r="13" spans="1:16" ht="27.95" customHeight="1">
      <c r="A13" s="1389"/>
      <c r="B13" s="1378" t="s">
        <v>373</v>
      </c>
      <c r="C13" s="1381" t="s">
        <v>374</v>
      </c>
      <c r="D13" s="1382"/>
      <c r="E13" s="663">
        <f>TRUNC((E11*8)*15/12,0)</f>
        <v>348610</v>
      </c>
      <c r="F13" s="663">
        <f t="shared" ref="F13:M13" si="8">TRUNC((F11*8)*15/12,0)</f>
        <v>264740</v>
      </c>
      <c r="G13" s="663">
        <f t="shared" si="8"/>
        <v>241010</v>
      </c>
      <c r="H13" s="663">
        <f t="shared" si="8"/>
        <v>202410</v>
      </c>
      <c r="I13" s="663">
        <f t="shared" si="8"/>
        <v>178310</v>
      </c>
      <c r="J13" s="663">
        <f t="shared" si="8"/>
        <v>192790</v>
      </c>
      <c r="K13" s="663">
        <f t="shared" si="8"/>
        <v>171530</v>
      </c>
      <c r="L13" s="663">
        <f t="shared" si="8"/>
        <v>150690</v>
      </c>
      <c r="M13" s="663">
        <f t="shared" si="8"/>
        <v>133570</v>
      </c>
      <c r="N13" s="412" t="s">
        <v>381</v>
      </c>
      <c r="P13" s="671"/>
    </row>
    <row r="14" spans="1:16" ht="27.95" customHeight="1">
      <c r="A14" s="1389"/>
      <c r="B14" s="1379"/>
      <c r="C14" s="1381" t="s">
        <v>858</v>
      </c>
      <c r="D14" s="1382"/>
      <c r="E14" s="663">
        <f>TRUNC((E11*8)*52/12,0)</f>
        <v>1208514</v>
      </c>
      <c r="F14" s="663">
        <f t="shared" ref="F14:M14" si="9">TRUNC((F11*8)*52/12,0)</f>
        <v>917765</v>
      </c>
      <c r="G14" s="663">
        <f t="shared" si="9"/>
        <v>835501</v>
      </c>
      <c r="H14" s="663">
        <f t="shared" si="9"/>
        <v>701688</v>
      </c>
      <c r="I14" s="663">
        <f t="shared" si="9"/>
        <v>618141</v>
      </c>
      <c r="J14" s="663">
        <f t="shared" si="9"/>
        <v>668338</v>
      </c>
      <c r="K14" s="663">
        <f t="shared" si="9"/>
        <v>594637</v>
      </c>
      <c r="L14" s="663">
        <f t="shared" si="9"/>
        <v>522392</v>
      </c>
      <c r="M14" s="663">
        <f t="shared" si="9"/>
        <v>463042</v>
      </c>
      <c r="N14" s="412"/>
      <c r="P14" s="671"/>
    </row>
    <row r="15" spans="1:16" ht="27.95" customHeight="1">
      <c r="A15" s="1389"/>
      <c r="B15" s="1380"/>
      <c r="C15" s="1396" t="s">
        <v>376</v>
      </c>
      <c r="D15" s="1396"/>
      <c r="E15" s="663">
        <f>SUM(E13:E14)</f>
        <v>1557124</v>
      </c>
      <c r="F15" s="663">
        <f t="shared" ref="F15:M15" si="10">SUM(F13:F14)</f>
        <v>1182505</v>
      </c>
      <c r="G15" s="663">
        <f t="shared" si="10"/>
        <v>1076511</v>
      </c>
      <c r="H15" s="663">
        <f t="shared" si="10"/>
        <v>904098</v>
      </c>
      <c r="I15" s="663">
        <f t="shared" si="10"/>
        <v>796451</v>
      </c>
      <c r="J15" s="663">
        <f t="shared" si="10"/>
        <v>861128</v>
      </c>
      <c r="K15" s="663">
        <f t="shared" si="10"/>
        <v>766167</v>
      </c>
      <c r="L15" s="663">
        <f t="shared" si="10"/>
        <v>673082</v>
      </c>
      <c r="M15" s="663">
        <f t="shared" si="10"/>
        <v>596612</v>
      </c>
      <c r="N15" s="412"/>
      <c r="P15" s="671"/>
    </row>
    <row r="16" spans="1:16" ht="27.95" customHeight="1">
      <c r="A16" s="1389"/>
      <c r="B16" s="1365" t="s">
        <v>356</v>
      </c>
      <c r="C16" s="1366"/>
      <c r="D16" s="1367"/>
      <c r="E16" s="663">
        <f t="shared" ref="E16:M16" si="11">ROUND(E12*400%/12,0)</f>
        <v>1516455</v>
      </c>
      <c r="F16" s="663">
        <f t="shared" si="11"/>
        <v>1151616</v>
      </c>
      <c r="G16" s="663">
        <f t="shared" si="11"/>
        <v>1048375</v>
      </c>
      <c r="H16" s="663">
        <f t="shared" si="11"/>
        <v>880485</v>
      </c>
      <c r="I16" s="663">
        <f t="shared" si="11"/>
        <v>775672</v>
      </c>
      <c r="J16" s="663">
        <f t="shared" si="11"/>
        <v>838626</v>
      </c>
      <c r="K16" s="663">
        <f t="shared" si="11"/>
        <v>746180</v>
      </c>
      <c r="L16" s="663">
        <f t="shared" si="11"/>
        <v>655506</v>
      </c>
      <c r="M16" s="663">
        <f t="shared" si="11"/>
        <v>581044</v>
      </c>
      <c r="N16" s="412" t="s">
        <v>368</v>
      </c>
    </row>
    <row r="17" spans="1:15" ht="27.95" customHeight="1">
      <c r="A17" s="1389"/>
      <c r="B17" s="1365" t="s">
        <v>357</v>
      </c>
      <c r="C17" s="1366"/>
      <c r="D17" s="1367"/>
      <c r="E17" s="663">
        <f t="shared" ref="E17:M17" si="12">ROUND((E12+E15+E16)/12,0)</f>
        <v>635245</v>
      </c>
      <c r="F17" s="663">
        <f t="shared" si="12"/>
        <v>482414</v>
      </c>
      <c r="G17" s="663">
        <f t="shared" si="12"/>
        <v>439168</v>
      </c>
      <c r="H17" s="663">
        <f t="shared" si="12"/>
        <v>368837</v>
      </c>
      <c r="I17" s="663">
        <f t="shared" si="12"/>
        <v>324928</v>
      </c>
      <c r="J17" s="663">
        <f t="shared" si="12"/>
        <v>351303</v>
      </c>
      <c r="K17" s="663">
        <f t="shared" si="12"/>
        <v>312574</v>
      </c>
      <c r="L17" s="663">
        <f t="shared" si="12"/>
        <v>274592</v>
      </c>
      <c r="M17" s="663">
        <f t="shared" si="12"/>
        <v>243399</v>
      </c>
      <c r="N17" s="412" t="s">
        <v>377</v>
      </c>
    </row>
    <row r="18" spans="1:15" ht="27.95" customHeight="1">
      <c r="A18" s="1390"/>
      <c r="B18" s="1365" t="s">
        <v>375</v>
      </c>
      <c r="C18" s="1366"/>
      <c r="D18" s="1367"/>
      <c r="E18" s="663">
        <f t="shared" ref="E18:M18" si="13">SUM(E12,E15,E16,E17)</f>
        <v>8258190</v>
      </c>
      <c r="F18" s="663">
        <f t="shared" si="13"/>
        <v>6271382</v>
      </c>
      <c r="G18" s="663">
        <f t="shared" si="13"/>
        <v>5709180</v>
      </c>
      <c r="H18" s="663">
        <f t="shared" si="13"/>
        <v>4794876</v>
      </c>
      <c r="I18" s="663">
        <f t="shared" si="13"/>
        <v>4224068</v>
      </c>
      <c r="J18" s="663">
        <f t="shared" si="13"/>
        <v>4566935</v>
      </c>
      <c r="K18" s="663">
        <f t="shared" si="13"/>
        <v>4063461</v>
      </c>
      <c r="L18" s="663">
        <f t="shared" si="13"/>
        <v>3569697</v>
      </c>
      <c r="M18" s="663">
        <f t="shared" si="13"/>
        <v>3164186</v>
      </c>
      <c r="N18" s="412"/>
    </row>
    <row r="19" spans="1:15" ht="27.95" customHeight="1">
      <c r="A19" s="1383" t="s">
        <v>372</v>
      </c>
      <c r="B19" s="1381" t="s">
        <v>148</v>
      </c>
      <c r="C19" s="1382"/>
      <c r="D19" s="672">
        <f>보험료산정기준!I7/100</f>
        <v>9.0000000000000011E-3</v>
      </c>
      <c r="E19" s="663">
        <f>ROUND(((E$12+E$15+E$16)*$D19),0)</f>
        <v>68607</v>
      </c>
      <c r="F19" s="663">
        <f t="shared" ref="F19:M19" si="14">ROUND(((F$12+F$15+F$16)*$D19),0)</f>
        <v>52101</v>
      </c>
      <c r="G19" s="663">
        <f t="shared" si="14"/>
        <v>47430</v>
      </c>
      <c r="H19" s="663">
        <f t="shared" si="14"/>
        <v>39834</v>
      </c>
      <c r="I19" s="663">
        <f t="shared" si="14"/>
        <v>35092</v>
      </c>
      <c r="J19" s="663">
        <f t="shared" si="14"/>
        <v>37941</v>
      </c>
      <c r="K19" s="663">
        <f t="shared" si="14"/>
        <v>33758</v>
      </c>
      <c r="L19" s="663">
        <f t="shared" si="14"/>
        <v>29656</v>
      </c>
      <c r="M19" s="663">
        <f t="shared" si="14"/>
        <v>26287</v>
      </c>
      <c r="N19" s="673" t="s">
        <v>1029</v>
      </c>
    </row>
    <row r="20" spans="1:15" ht="27.95" customHeight="1">
      <c r="A20" s="1384"/>
      <c r="B20" s="1381" t="s">
        <v>150</v>
      </c>
      <c r="C20" s="1382"/>
      <c r="D20" s="672">
        <f>보험료산정기준!I8/100</f>
        <v>4.4999999999999998E-2</v>
      </c>
      <c r="E20" s="663">
        <f t="shared" ref="E20:E25" si="15">ROUND(SUM(E$18*$D20),0)</f>
        <v>371619</v>
      </c>
      <c r="F20" s="663">
        <f t="shared" ref="F20:M25" si="16">ROUND(SUM(F$18*$D20),0)</f>
        <v>282212</v>
      </c>
      <c r="G20" s="663">
        <f t="shared" si="16"/>
        <v>256913</v>
      </c>
      <c r="H20" s="663">
        <f t="shared" si="16"/>
        <v>215769</v>
      </c>
      <c r="I20" s="663">
        <f t="shared" si="16"/>
        <v>190083</v>
      </c>
      <c r="J20" s="663">
        <f t="shared" si="16"/>
        <v>205512</v>
      </c>
      <c r="K20" s="663">
        <f t="shared" si="16"/>
        <v>182856</v>
      </c>
      <c r="L20" s="663">
        <f t="shared" si="16"/>
        <v>160636</v>
      </c>
      <c r="M20" s="663">
        <f t="shared" si="16"/>
        <v>142388</v>
      </c>
      <c r="N20" s="412" t="s">
        <v>369</v>
      </c>
    </row>
    <row r="21" spans="1:15" ht="27.95" customHeight="1">
      <c r="A21" s="1384"/>
      <c r="B21" s="1381" t="s">
        <v>135</v>
      </c>
      <c r="C21" s="1382"/>
      <c r="D21" s="672">
        <f>보험료산정기준!I9/100</f>
        <v>1.15E-2</v>
      </c>
      <c r="E21" s="663">
        <f t="shared" si="15"/>
        <v>94969</v>
      </c>
      <c r="F21" s="663">
        <f t="shared" si="16"/>
        <v>72121</v>
      </c>
      <c r="G21" s="663">
        <f t="shared" si="16"/>
        <v>65656</v>
      </c>
      <c r="H21" s="663">
        <f t="shared" si="16"/>
        <v>55141</v>
      </c>
      <c r="I21" s="663">
        <f t="shared" si="16"/>
        <v>48577</v>
      </c>
      <c r="J21" s="663">
        <f t="shared" si="16"/>
        <v>52520</v>
      </c>
      <c r="K21" s="663">
        <f t="shared" si="16"/>
        <v>46730</v>
      </c>
      <c r="L21" s="663">
        <f t="shared" si="16"/>
        <v>41052</v>
      </c>
      <c r="M21" s="663">
        <f t="shared" si="16"/>
        <v>36388</v>
      </c>
      <c r="N21" s="412" t="s">
        <v>854</v>
      </c>
    </row>
    <row r="22" spans="1:15" ht="27.95" customHeight="1">
      <c r="A22" s="1384"/>
      <c r="B22" s="1381" t="s">
        <v>151</v>
      </c>
      <c r="C22" s="1382"/>
      <c r="D22" s="672">
        <f>보험료산정기준!I10/100</f>
        <v>3.5450000000000002E-2</v>
      </c>
      <c r="E22" s="663">
        <f t="shared" si="15"/>
        <v>292753</v>
      </c>
      <c r="F22" s="663">
        <f t="shared" si="16"/>
        <v>222320</v>
      </c>
      <c r="G22" s="663">
        <f t="shared" si="16"/>
        <v>202390</v>
      </c>
      <c r="H22" s="663">
        <f t="shared" si="16"/>
        <v>169978</v>
      </c>
      <c r="I22" s="663">
        <f t="shared" si="16"/>
        <v>149743</v>
      </c>
      <c r="J22" s="663">
        <f t="shared" si="16"/>
        <v>161898</v>
      </c>
      <c r="K22" s="663">
        <f t="shared" si="16"/>
        <v>144050</v>
      </c>
      <c r="L22" s="663">
        <f t="shared" si="16"/>
        <v>126546</v>
      </c>
      <c r="M22" s="663">
        <f t="shared" si="16"/>
        <v>112170</v>
      </c>
      <c r="N22" s="412" t="s">
        <v>855</v>
      </c>
    </row>
    <row r="23" spans="1:15" ht="27.95" customHeight="1">
      <c r="A23" s="1384"/>
      <c r="B23" s="1381" t="s">
        <v>210</v>
      </c>
      <c r="C23" s="1382"/>
      <c r="D23" s="672">
        <f>보험료산정기준!I11/100</f>
        <v>0.12809999999999999</v>
      </c>
      <c r="E23" s="663">
        <f>ROUND(SUM(E$22*$D23),0)</f>
        <v>37502</v>
      </c>
      <c r="F23" s="663">
        <f t="shared" ref="F23:M23" si="17">ROUND(SUM(F$22*$D23),0)</f>
        <v>28479</v>
      </c>
      <c r="G23" s="663">
        <f t="shared" si="17"/>
        <v>25926</v>
      </c>
      <c r="H23" s="663">
        <f t="shared" si="17"/>
        <v>21774</v>
      </c>
      <c r="I23" s="663">
        <f t="shared" si="17"/>
        <v>19182</v>
      </c>
      <c r="J23" s="663">
        <f t="shared" si="17"/>
        <v>20739</v>
      </c>
      <c r="K23" s="663">
        <f t="shared" si="17"/>
        <v>18453</v>
      </c>
      <c r="L23" s="663">
        <f t="shared" si="17"/>
        <v>16211</v>
      </c>
      <c r="M23" s="663">
        <f t="shared" si="17"/>
        <v>14369</v>
      </c>
      <c r="N23" s="412" t="s">
        <v>856</v>
      </c>
    </row>
    <row r="24" spans="1:15" ht="27.95" customHeight="1">
      <c r="A24" s="1384"/>
      <c r="B24" s="1381" t="s">
        <v>149</v>
      </c>
      <c r="C24" s="1382"/>
      <c r="D24" s="672">
        <f>보험료산정기준!I12/100</f>
        <v>5.9999999999999995E-4</v>
      </c>
      <c r="E24" s="663">
        <f t="shared" si="15"/>
        <v>4955</v>
      </c>
      <c r="F24" s="663">
        <f t="shared" si="16"/>
        <v>3763</v>
      </c>
      <c r="G24" s="663">
        <f t="shared" si="16"/>
        <v>3426</v>
      </c>
      <c r="H24" s="663">
        <f t="shared" si="16"/>
        <v>2877</v>
      </c>
      <c r="I24" s="663">
        <f t="shared" si="16"/>
        <v>2534</v>
      </c>
      <c r="J24" s="663">
        <f t="shared" si="16"/>
        <v>2740</v>
      </c>
      <c r="K24" s="663">
        <f t="shared" si="16"/>
        <v>2438</v>
      </c>
      <c r="L24" s="663">
        <f t="shared" si="16"/>
        <v>2142</v>
      </c>
      <c r="M24" s="663">
        <f t="shared" si="16"/>
        <v>1899</v>
      </c>
      <c r="N24" s="412" t="s">
        <v>370</v>
      </c>
    </row>
    <row r="25" spans="1:15" ht="27.95" customHeight="1">
      <c r="A25" s="1384"/>
      <c r="B25" s="1381" t="s">
        <v>636</v>
      </c>
      <c r="C25" s="1382"/>
      <c r="D25" s="672">
        <f>보험료산정기준!I13/100</f>
        <v>4.0000000000000003E-5</v>
      </c>
      <c r="E25" s="663">
        <f t="shared" si="15"/>
        <v>330</v>
      </c>
      <c r="F25" s="663">
        <f t="shared" si="16"/>
        <v>251</v>
      </c>
      <c r="G25" s="663">
        <f t="shared" si="16"/>
        <v>228</v>
      </c>
      <c r="H25" s="663">
        <f t="shared" si="16"/>
        <v>192</v>
      </c>
      <c r="I25" s="663">
        <f t="shared" si="16"/>
        <v>169</v>
      </c>
      <c r="J25" s="663">
        <f t="shared" si="16"/>
        <v>183</v>
      </c>
      <c r="K25" s="663">
        <f t="shared" si="16"/>
        <v>163</v>
      </c>
      <c r="L25" s="663">
        <f t="shared" si="16"/>
        <v>143</v>
      </c>
      <c r="M25" s="663">
        <f t="shared" si="16"/>
        <v>127</v>
      </c>
      <c r="N25" s="412" t="s">
        <v>857</v>
      </c>
    </row>
    <row r="26" spans="1:15" ht="27.95" customHeight="1">
      <c r="A26" s="1385"/>
      <c r="B26" s="1365" t="s">
        <v>375</v>
      </c>
      <c r="C26" s="1366"/>
      <c r="D26" s="1367"/>
      <c r="E26" s="663">
        <f>SUM(E19:E25)</f>
        <v>870735</v>
      </c>
      <c r="F26" s="663">
        <f t="shared" ref="F26:L26" si="18">SUM(F19:F25)</f>
        <v>661247</v>
      </c>
      <c r="G26" s="663">
        <f t="shared" si="18"/>
        <v>601969</v>
      </c>
      <c r="H26" s="663">
        <f t="shared" si="18"/>
        <v>505565</v>
      </c>
      <c r="I26" s="663">
        <f t="shared" si="18"/>
        <v>445380</v>
      </c>
      <c r="J26" s="663">
        <f t="shared" si="18"/>
        <v>481533</v>
      </c>
      <c r="K26" s="663">
        <f t="shared" si="18"/>
        <v>428448</v>
      </c>
      <c r="L26" s="663">
        <f t="shared" si="18"/>
        <v>376386</v>
      </c>
      <c r="M26" s="663">
        <f t="shared" ref="M26" si="19">SUM(M19:M25)</f>
        <v>333628</v>
      </c>
      <c r="N26" s="412"/>
    </row>
    <row r="27" spans="1:15" ht="27.95" customHeight="1">
      <c r="A27" s="1365" t="s">
        <v>358</v>
      </c>
      <c r="B27" s="1366"/>
      <c r="C27" s="1366"/>
      <c r="D27" s="1367"/>
      <c r="E27" s="663">
        <f>SUM(E18,E26)</f>
        <v>9128925</v>
      </c>
      <c r="F27" s="663">
        <f>SUM(F18,F26)</f>
        <v>6932629</v>
      </c>
      <c r="G27" s="663">
        <f t="shared" ref="G27:L27" si="20">SUM(G18,G26)</f>
        <v>6311149</v>
      </c>
      <c r="H27" s="663">
        <f t="shared" si="20"/>
        <v>5300441</v>
      </c>
      <c r="I27" s="663">
        <f t="shared" si="20"/>
        <v>4669448</v>
      </c>
      <c r="J27" s="663">
        <f t="shared" si="20"/>
        <v>5048468</v>
      </c>
      <c r="K27" s="663">
        <f t="shared" si="20"/>
        <v>4491909</v>
      </c>
      <c r="L27" s="663">
        <f t="shared" si="20"/>
        <v>3946083</v>
      </c>
      <c r="M27" s="663">
        <f t="shared" ref="M27" si="21">SUM(M18,M26)</f>
        <v>3497814</v>
      </c>
      <c r="N27" s="412"/>
      <c r="O27" s="674"/>
    </row>
    <row r="28" spans="1:15" ht="28.5" customHeight="1">
      <c r="A28" s="3" t="s">
        <v>851</v>
      </c>
    </row>
    <row r="29" spans="1:15" ht="20.100000000000001" customHeight="1"/>
    <row r="30" spans="1:15" ht="20.100000000000001" customHeight="1">
      <c r="E30" s="674"/>
      <c r="F30" s="674"/>
      <c r="G30" s="674"/>
      <c r="H30" s="674"/>
      <c r="I30" s="674"/>
      <c r="J30" s="674"/>
      <c r="K30" s="674"/>
      <c r="L30" s="674"/>
      <c r="M30" s="674"/>
    </row>
    <row r="31" spans="1:15" ht="20.100000000000001" customHeight="1"/>
    <row r="32" spans="1:15" ht="20.100000000000001" customHeight="1"/>
    <row r="33" ht="20.100000000000001" customHeight="1"/>
  </sheetData>
  <mergeCells count="26">
    <mergeCell ref="A5:D5"/>
    <mergeCell ref="A6:D6"/>
    <mergeCell ref="A7:D7"/>
    <mergeCell ref="A8:D8"/>
    <mergeCell ref="A12:A18"/>
    <mergeCell ref="B12:D12"/>
    <mergeCell ref="A10:D10"/>
    <mergeCell ref="A11:D11"/>
    <mergeCell ref="B16:D16"/>
    <mergeCell ref="B17:D17"/>
    <mergeCell ref="A9:D9"/>
    <mergeCell ref="C13:D13"/>
    <mergeCell ref="C15:D15"/>
    <mergeCell ref="C14:D14"/>
    <mergeCell ref="A27:D27"/>
    <mergeCell ref="B13:B15"/>
    <mergeCell ref="B19:C19"/>
    <mergeCell ref="B20:C20"/>
    <mergeCell ref="B21:C21"/>
    <mergeCell ref="B22:C22"/>
    <mergeCell ref="B18:D18"/>
    <mergeCell ref="B25:C25"/>
    <mergeCell ref="B23:C23"/>
    <mergeCell ref="B24:C24"/>
    <mergeCell ref="A19:A26"/>
    <mergeCell ref="B26:D2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62" firstPageNumber="141" orientation="landscape" blackAndWhite="1" r:id="rId1"/>
  <headerFooter alignWithMargins="0">
    <oddFooter>&amp;C&amp;"바탕체,보통"&amp;14- &amp;P -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0"/>
  <sheetViews>
    <sheetView view="pageBreakPreview" zoomScaleNormal="80" zoomScaleSheetLayoutView="100" workbookViewId="0">
      <selection activeCell="O16" sqref="O16"/>
    </sheetView>
  </sheetViews>
  <sheetFormatPr defaultRowHeight="12"/>
  <cols>
    <col min="1" max="1" width="5.21875" style="34" customWidth="1"/>
    <col min="2" max="2" width="1" style="34" customWidth="1"/>
    <col min="3" max="3" width="15.109375" style="34" customWidth="1"/>
    <col min="4" max="4" width="1" style="34" customWidth="1"/>
    <col min="5" max="5" width="23.33203125" style="34" customWidth="1"/>
    <col min="6" max="6" width="52.77734375" style="34" customWidth="1"/>
    <col min="7" max="7" width="27.21875" style="34" customWidth="1"/>
    <col min="8" max="8" width="7.33203125" style="34" customWidth="1"/>
    <col min="9" max="9" width="8.88671875" style="34"/>
    <col min="10" max="10" width="8.88671875" style="260"/>
    <col min="11" max="16384" width="8.88671875" style="34"/>
  </cols>
  <sheetData>
    <row r="1" spans="1:10" ht="20.100000000000001" customHeight="1">
      <c r="A1" s="1" t="str">
        <f>"[ 표 : "&amp;I1&amp;" ] "</f>
        <v xml:space="preserve">[ 표 : 10 ] </v>
      </c>
      <c r="B1" s="1"/>
      <c r="C1" s="1"/>
      <c r="D1" s="1"/>
      <c r="I1" s="34">
        <f>기본급추정!O1+1</f>
        <v>10</v>
      </c>
    </row>
    <row r="2" spans="1:10" s="36" customFormat="1" ht="42" customHeight="1">
      <c r="A2" s="35" t="s">
        <v>103</v>
      </c>
      <c r="B2" s="35"/>
      <c r="C2" s="35"/>
      <c r="D2" s="35"/>
      <c r="E2" s="35"/>
      <c r="F2" s="35"/>
      <c r="G2" s="35"/>
      <c r="H2" s="35"/>
      <c r="J2" s="261"/>
    </row>
    <row r="3" spans="1:10" ht="30" customHeight="1"/>
    <row r="4" spans="1:10" ht="24.95" customHeight="1">
      <c r="A4" s="1400" t="s">
        <v>163</v>
      </c>
      <c r="B4" s="1374"/>
      <c r="C4" s="1374"/>
      <c r="D4" s="1401"/>
      <c r="E4" s="1284" t="s">
        <v>164</v>
      </c>
      <c r="F4" s="1404" t="s">
        <v>104</v>
      </c>
      <c r="G4" s="1284" t="s">
        <v>165</v>
      </c>
      <c r="H4" s="1284" t="s">
        <v>105</v>
      </c>
    </row>
    <row r="5" spans="1:10" ht="24.95" customHeight="1">
      <c r="A5" s="1402"/>
      <c r="B5" s="1375"/>
      <c r="C5" s="1375"/>
      <c r="D5" s="1403"/>
      <c r="E5" s="1371"/>
      <c r="F5" s="1405"/>
      <c r="G5" s="1371"/>
      <c r="H5" s="1371"/>
      <c r="J5" s="524"/>
    </row>
    <row r="6" spans="1:10" ht="66" customHeight="1">
      <c r="A6" s="1397" t="s">
        <v>106</v>
      </c>
      <c r="B6" s="1398"/>
      <c r="C6" s="1398"/>
      <c r="D6" s="1399"/>
      <c r="E6" s="266" t="s">
        <v>1031</v>
      </c>
      <c r="F6" s="266" t="s">
        <v>847</v>
      </c>
      <c r="G6" s="266" t="str">
        <f>"추정 일일기본급×월평균근무일수"</f>
        <v>추정 일일기본급×월평균근무일수</v>
      </c>
      <c r="H6" s="525"/>
      <c r="I6" s="12"/>
      <c r="J6" s="526"/>
    </row>
    <row r="7" spans="1:10" ht="63.75" customHeight="1">
      <c r="A7" s="1406" t="s">
        <v>107</v>
      </c>
      <c r="B7" s="263"/>
      <c r="C7" s="264" t="s">
        <v>153</v>
      </c>
      <c r="D7" s="265"/>
      <c r="E7" s="266" t="s">
        <v>250</v>
      </c>
      <c r="F7" s="266" t="s">
        <v>978</v>
      </c>
      <c r="G7" s="266" t="s">
        <v>327</v>
      </c>
      <c r="H7" s="22"/>
      <c r="I7" s="12"/>
    </row>
    <row r="8" spans="1:10" s="12" customFormat="1" ht="63.75" customHeight="1">
      <c r="A8" s="1407"/>
      <c r="B8" s="527"/>
      <c r="C8" s="528" t="s">
        <v>256</v>
      </c>
      <c r="D8" s="529"/>
      <c r="E8" s="266" t="s">
        <v>244</v>
      </c>
      <c r="F8" s="266" t="s">
        <v>345</v>
      </c>
      <c r="G8" s="266" t="s">
        <v>561</v>
      </c>
      <c r="H8" s="22"/>
      <c r="J8" s="277"/>
    </row>
    <row r="9" spans="1:10" ht="66" customHeight="1">
      <c r="A9" s="1272" t="s">
        <v>108</v>
      </c>
      <c r="B9" s="1273"/>
      <c r="C9" s="1273"/>
      <c r="D9" s="1274"/>
      <c r="E9" s="267" t="s">
        <v>859</v>
      </c>
      <c r="F9" s="266" t="str">
        <f>"예정가격 작성요령에 의거 상여금은 기준단가의 연 400%를 계상할 수 
 있으므로, 본 용역에서는 연 "&amp;단위당인건비!I5*100&amp;"%를 적용하였다."</f>
        <v>예정가격 작성요령에 의거 상여금은 기준단가의 연 400%를 계상할 수 
 있으므로, 본 용역에서는 연 400%를 적용하였다.</v>
      </c>
      <c r="G9" s="267" t="str">
        <f>"기본급×"&amp;단위당인건비!I5*100&amp;"%"</f>
        <v>기본급×400%</v>
      </c>
      <c r="H9" s="307"/>
      <c r="J9" s="530"/>
    </row>
    <row r="10" spans="1:10" ht="66" customHeight="1">
      <c r="A10" s="1272" t="s">
        <v>109</v>
      </c>
      <c r="B10" s="1273"/>
      <c r="C10" s="1273"/>
      <c r="D10" s="1274"/>
      <c r="E10" s="267" t="s">
        <v>316</v>
      </c>
      <c r="F10" s="267" t="s">
        <v>204</v>
      </c>
      <c r="G10" s="267" t="s">
        <v>328</v>
      </c>
      <c r="H10" s="307"/>
    </row>
  </sheetData>
  <mergeCells count="9">
    <mergeCell ref="A10:D10"/>
    <mergeCell ref="H4:H5"/>
    <mergeCell ref="A6:D6"/>
    <mergeCell ref="A9:D9"/>
    <mergeCell ref="A4:D5"/>
    <mergeCell ref="E4:E5"/>
    <mergeCell ref="F4:F5"/>
    <mergeCell ref="G4:G5"/>
    <mergeCell ref="A7:A8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4" firstPageNumber="141" orientation="landscape" r:id="rId1"/>
  <headerFooter alignWithMargins="0">
    <oddFooter>&amp;C&amp;"바탕체,보통"&amp;12- &amp;P -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8"/>
  <sheetViews>
    <sheetView topLeftCell="A210" workbookViewId="0">
      <selection activeCell="AD246" sqref="AD246"/>
    </sheetView>
  </sheetViews>
  <sheetFormatPr defaultRowHeight="13.5"/>
  <cols>
    <col min="1" max="1" width="9.109375" style="845" customWidth="1"/>
    <col min="2" max="2" width="6.88671875" style="845" customWidth="1"/>
    <col min="3" max="3" width="12.44140625" style="845" customWidth="1"/>
    <col min="4" max="4" width="1.21875" style="845" customWidth="1"/>
    <col min="5" max="5" width="9.88671875" style="845" customWidth="1"/>
    <col min="6" max="6" width="2.77734375" style="846" customWidth="1"/>
    <col min="7" max="7" width="3.21875" style="845" customWidth="1"/>
    <col min="8" max="8" width="6.5546875" style="847" customWidth="1"/>
    <col min="9" max="9" width="2.44140625" style="846" customWidth="1"/>
    <col min="10" max="10" width="3.21875" style="845" customWidth="1"/>
    <col min="11" max="11" width="4.5546875" style="845" customWidth="1"/>
    <col min="12" max="12" width="4.5546875" style="846" customWidth="1"/>
    <col min="13" max="13" width="1.21875" style="845" customWidth="1"/>
    <col min="14" max="14" width="11.88671875" style="848" customWidth="1"/>
    <col min="15" max="15" width="11.44140625" style="849" customWidth="1"/>
    <col min="16" max="16" width="2.33203125" style="848" customWidth="1"/>
    <col min="17" max="17" width="8.88671875" style="848"/>
    <col min="18" max="18" width="2.21875" style="848" customWidth="1"/>
    <col min="19" max="19" width="8.5546875" style="848" bestFit="1" customWidth="1"/>
    <col min="20" max="20" width="2.5546875" style="848" customWidth="1"/>
    <col min="21" max="21" width="5.109375" style="848" customWidth="1"/>
    <col min="22" max="22" width="2.109375" style="845" customWidth="1"/>
    <col min="23" max="23" width="8.6640625" style="845" customWidth="1"/>
    <col min="24" max="16384" width="8.88671875" style="845"/>
  </cols>
  <sheetData>
    <row r="1" spans="1:22">
      <c r="A1" s="844"/>
    </row>
    <row r="2" spans="1:22">
      <c r="A2" s="850"/>
    </row>
    <row r="3" spans="1:22" ht="30" customHeight="1">
      <c r="A3" s="1430" t="s">
        <v>917</v>
      </c>
      <c r="B3" s="1430"/>
      <c r="C3" s="1430"/>
      <c r="D3" s="1430"/>
      <c r="E3" s="1430"/>
      <c r="F3" s="1430"/>
      <c r="G3" s="1430"/>
      <c r="H3" s="1430"/>
      <c r="I3" s="1430"/>
      <c r="J3" s="1430"/>
      <c r="K3" s="1430"/>
      <c r="L3" s="1430"/>
      <c r="M3" s="1430"/>
    </row>
    <row r="4" spans="1:22" ht="15.75" hidden="1" customHeight="1"/>
    <row r="5" spans="1:22" s="852" customFormat="1" ht="13.5" hidden="1" customHeight="1">
      <c r="A5" s="851"/>
      <c r="F5" s="853"/>
      <c r="H5" s="854"/>
      <c r="I5" s="853"/>
      <c r="L5" s="853"/>
      <c r="M5" s="854" t="s">
        <v>918</v>
      </c>
      <c r="N5" s="848"/>
      <c r="O5" s="849"/>
      <c r="P5" s="848"/>
      <c r="Q5" s="848"/>
      <c r="R5" s="848"/>
      <c r="S5" s="848"/>
      <c r="T5" s="848"/>
      <c r="U5" s="848"/>
    </row>
    <row r="6" spans="1:22" ht="15.75" hidden="1" customHeight="1">
      <c r="A6" s="855"/>
    </row>
    <row r="7" spans="1:22" ht="15.75" hidden="1" customHeight="1">
      <c r="A7" s="1416" t="s">
        <v>919</v>
      </c>
      <c r="B7" s="1416"/>
      <c r="C7" s="856" t="s">
        <v>920</v>
      </c>
      <c r="D7" s="1417" t="s">
        <v>921</v>
      </c>
      <c r="E7" s="1418"/>
      <c r="F7" s="1418"/>
      <c r="G7" s="1418"/>
      <c r="H7" s="1418"/>
      <c r="I7" s="1418"/>
      <c r="J7" s="1418"/>
      <c r="K7" s="1418"/>
      <c r="L7" s="1418"/>
      <c r="M7" s="1419"/>
    </row>
    <row r="8" spans="1:22" ht="15.75" hidden="1" customHeight="1">
      <c r="A8" s="1431" t="s">
        <v>922</v>
      </c>
      <c r="B8" s="1432"/>
      <c r="C8" s="857">
        <f>'[37]표2-4'!C8</f>
        <v>424902</v>
      </c>
      <c r="D8" s="858"/>
      <c r="E8" s="859"/>
      <c r="F8" s="860"/>
      <c r="G8" s="859"/>
      <c r="H8" s="861"/>
      <c r="I8" s="860"/>
      <c r="J8" s="859"/>
      <c r="K8" s="859"/>
      <c r="L8" s="860"/>
      <c r="M8" s="862"/>
    </row>
    <row r="9" spans="1:22" ht="15.75" hidden="1" customHeight="1">
      <c r="A9" s="1425" t="s">
        <v>923</v>
      </c>
      <c r="B9" s="1426"/>
      <c r="C9" s="857">
        <f>ROUNDDOWN((C10+C12+C14)/209,-1)</f>
        <v>33600</v>
      </c>
      <c r="D9" s="858"/>
      <c r="E9" s="863" t="s">
        <v>924</v>
      </c>
      <c r="F9" s="860"/>
      <c r="G9" s="859"/>
      <c r="H9" s="861"/>
      <c r="I9" s="860"/>
      <c r="J9" s="859"/>
      <c r="K9" s="859"/>
      <c r="L9" s="860"/>
      <c r="M9" s="862"/>
      <c r="N9" s="864" t="s">
        <v>925</v>
      </c>
      <c r="P9" s="865">
        <f>48*4.345</f>
        <v>208.56</v>
      </c>
      <c r="Q9" s="864" t="s">
        <v>926</v>
      </c>
      <c r="V9" s="866" t="s">
        <v>927</v>
      </c>
    </row>
    <row r="10" spans="1:22" ht="15.75" hidden="1" customHeight="1">
      <c r="A10" s="1427" t="s">
        <v>928</v>
      </c>
      <c r="B10" s="1428"/>
      <c r="C10" s="857">
        <f>ROUNDDOWN(E10*H10,-1)</f>
        <v>4549360</v>
      </c>
      <c r="D10" s="858"/>
      <c r="E10" s="859">
        <v>220843</v>
      </c>
      <c r="F10" s="860" t="s">
        <v>929</v>
      </c>
      <c r="G10" s="867" t="s">
        <v>930</v>
      </c>
      <c r="H10" s="868">
        <v>20.6</v>
      </c>
      <c r="I10" s="860" t="s">
        <v>931</v>
      </c>
      <c r="J10" s="859"/>
      <c r="K10" s="859"/>
      <c r="L10" s="860"/>
      <c r="M10" s="862"/>
      <c r="Q10" s="869" t="s">
        <v>932</v>
      </c>
    </row>
    <row r="11" spans="1:22" ht="15.75" hidden="1" customHeight="1">
      <c r="A11" s="1427" t="s">
        <v>933</v>
      </c>
      <c r="B11" s="1428"/>
      <c r="C11" s="857">
        <f>+C12+C13</f>
        <v>1292980</v>
      </c>
      <c r="D11" s="858"/>
      <c r="E11" s="859"/>
      <c r="F11" s="860"/>
      <c r="G11" s="859"/>
      <c r="H11" s="861"/>
      <c r="I11" s="860"/>
      <c r="J11" s="859"/>
      <c r="K11" s="859"/>
      <c r="L11" s="860"/>
      <c r="M11" s="862"/>
    </row>
    <row r="12" spans="1:22" ht="15.75" hidden="1" customHeight="1">
      <c r="A12" s="1425" t="s">
        <v>934</v>
      </c>
      <c r="B12" s="1426"/>
      <c r="C12" s="857">
        <f>ROUNDDOWN(E12*H12/K12,-1)</f>
        <v>956980</v>
      </c>
      <c r="D12" s="858"/>
      <c r="E12" s="859">
        <f>E10</f>
        <v>220843</v>
      </c>
      <c r="F12" s="860" t="s">
        <v>929</v>
      </c>
      <c r="G12" s="867" t="s">
        <v>930</v>
      </c>
      <c r="H12" s="861">
        <v>52</v>
      </c>
      <c r="I12" s="860" t="s">
        <v>931</v>
      </c>
      <c r="J12" s="870" t="s">
        <v>935</v>
      </c>
      <c r="K12" s="859">
        <v>12</v>
      </c>
      <c r="L12" s="860" t="s">
        <v>936</v>
      </c>
      <c r="M12" s="862"/>
      <c r="N12" s="864" t="s">
        <v>937</v>
      </c>
      <c r="P12" s="871">
        <f>365/7/12</f>
        <v>4.3452380952380958</v>
      </c>
      <c r="Q12" s="869" t="s">
        <v>938</v>
      </c>
    </row>
    <row r="13" spans="1:22" ht="15.75" hidden="1" customHeight="1">
      <c r="A13" s="1425" t="s">
        <v>939</v>
      </c>
      <c r="B13" s="1426"/>
      <c r="C13" s="857">
        <f>ROUNDDOWN(E13*H13/K13,-1)</f>
        <v>336000</v>
      </c>
      <c r="D13" s="858"/>
      <c r="E13" s="859">
        <f>C9*8</f>
        <v>268800</v>
      </c>
      <c r="F13" s="860" t="s">
        <v>929</v>
      </c>
      <c r="G13" s="867" t="s">
        <v>930</v>
      </c>
      <c r="H13" s="861">
        <v>15</v>
      </c>
      <c r="I13" s="872" t="s">
        <v>931</v>
      </c>
      <c r="J13" s="870" t="s">
        <v>935</v>
      </c>
      <c r="K13" s="859">
        <v>12</v>
      </c>
      <c r="L13" s="860" t="s">
        <v>936</v>
      </c>
      <c r="M13" s="862"/>
      <c r="Q13" s="869" t="s">
        <v>940</v>
      </c>
    </row>
    <row r="14" spans="1:22" ht="15.75" hidden="1" customHeight="1">
      <c r="A14" s="1427" t="s">
        <v>941</v>
      </c>
      <c r="B14" s="1428"/>
      <c r="C14" s="857">
        <f>ROUNDDOWN(E14*H14%/K14,-1)</f>
        <v>1516450</v>
      </c>
      <c r="D14" s="858"/>
      <c r="E14" s="859">
        <f>C10</f>
        <v>4549360</v>
      </c>
      <c r="F14" s="860" t="s">
        <v>929</v>
      </c>
      <c r="G14" s="867" t="s">
        <v>930</v>
      </c>
      <c r="H14" s="861">
        <v>400</v>
      </c>
      <c r="I14" s="860" t="s">
        <v>942</v>
      </c>
      <c r="J14" s="870" t="s">
        <v>935</v>
      </c>
      <c r="K14" s="859">
        <v>12</v>
      </c>
      <c r="L14" s="860" t="s">
        <v>936</v>
      </c>
      <c r="M14" s="862"/>
    </row>
    <row r="15" spans="1:22" ht="15.75" hidden="1" customHeight="1">
      <c r="A15" s="1427" t="s">
        <v>943</v>
      </c>
      <c r="B15" s="1428"/>
      <c r="C15" s="857">
        <f>ROUNDDOWN((C10+C11+C14)/12,-1)</f>
        <v>613230</v>
      </c>
      <c r="D15" s="858"/>
      <c r="E15" s="1429" t="s">
        <v>944</v>
      </c>
      <c r="F15" s="1429"/>
      <c r="G15" s="1429"/>
      <c r="H15" s="1429"/>
      <c r="I15" s="1429"/>
      <c r="J15" s="1429"/>
      <c r="K15" s="1429"/>
      <c r="L15" s="1429"/>
      <c r="M15" s="862"/>
    </row>
    <row r="16" spans="1:22" ht="15.75" hidden="1" customHeight="1">
      <c r="A16" s="1425" t="s">
        <v>945</v>
      </c>
      <c r="B16" s="1426"/>
      <c r="C16" s="857">
        <f>+C10+C11+C14+C15</f>
        <v>7972020</v>
      </c>
      <c r="D16" s="858"/>
      <c r="E16" s="859"/>
      <c r="F16" s="860"/>
      <c r="G16" s="859"/>
      <c r="H16" s="861"/>
      <c r="I16" s="860"/>
      <c r="J16" s="859"/>
      <c r="K16" s="859"/>
      <c r="L16" s="860"/>
      <c r="M16" s="862"/>
      <c r="S16" s="848">
        <v>2023</v>
      </c>
      <c r="U16" s="848">
        <v>2018</v>
      </c>
      <c r="V16" s="845">
        <v>2019</v>
      </c>
    </row>
    <row r="17" spans="1:22" ht="15.75" hidden="1" customHeight="1">
      <c r="A17" s="1425" t="s">
        <v>946</v>
      </c>
      <c r="B17" s="1426"/>
      <c r="C17" s="857">
        <f>ROUNDDOWN(E17*H17%,-1)</f>
        <v>331140</v>
      </c>
      <c r="D17" s="858"/>
      <c r="E17" s="859">
        <f>+C16-C15</f>
        <v>7358790</v>
      </c>
      <c r="F17" s="860" t="s">
        <v>929</v>
      </c>
      <c r="G17" s="867" t="s">
        <v>930</v>
      </c>
      <c r="H17" s="873">
        <v>4.5</v>
      </c>
      <c r="I17" s="860" t="s">
        <v>942</v>
      </c>
      <c r="J17" s="859"/>
      <c r="K17" s="859"/>
      <c r="L17" s="860"/>
      <c r="M17" s="862"/>
      <c r="S17" s="874">
        <v>4.5</v>
      </c>
      <c r="U17" s="874">
        <v>4.5</v>
      </c>
      <c r="V17" s="875">
        <v>4.5</v>
      </c>
    </row>
    <row r="18" spans="1:22" ht="15.75" hidden="1" customHeight="1">
      <c r="A18" s="1425" t="s">
        <v>947</v>
      </c>
      <c r="B18" s="1426"/>
      <c r="C18" s="857">
        <f>ROUNDDOWN(E18*H18%,-1)</f>
        <v>260860</v>
      </c>
      <c r="D18" s="858"/>
      <c r="E18" s="859">
        <f>E17</f>
        <v>7358790</v>
      </c>
      <c r="F18" s="860" t="s">
        <v>929</v>
      </c>
      <c r="G18" s="867" t="s">
        <v>930</v>
      </c>
      <c r="H18" s="876">
        <v>3.5449999999999999</v>
      </c>
      <c r="I18" s="860" t="s">
        <v>942</v>
      </c>
      <c r="J18" s="859"/>
      <c r="K18" s="859"/>
      <c r="L18" s="860"/>
      <c r="M18" s="862"/>
      <c r="S18" s="877">
        <v>3.5449999999999999</v>
      </c>
      <c r="U18" s="877">
        <v>3.06</v>
      </c>
      <c r="V18" s="878">
        <v>3.12</v>
      </c>
    </row>
    <row r="19" spans="1:22" ht="15.75" hidden="1" customHeight="1">
      <c r="A19" s="1425" t="s">
        <v>948</v>
      </c>
      <c r="B19" s="1426"/>
      <c r="C19" s="857">
        <f t="shared" ref="C19:C20" si="0">ROUNDDOWN(E19*H19%,-1)</f>
        <v>66220</v>
      </c>
      <c r="D19" s="858"/>
      <c r="E19" s="859">
        <f>E17</f>
        <v>7358790</v>
      </c>
      <c r="F19" s="860" t="s">
        <v>929</v>
      </c>
      <c r="G19" s="867" t="s">
        <v>930</v>
      </c>
      <c r="H19" s="873">
        <f>(8/1000+1/1000)*100</f>
        <v>0.90000000000000013</v>
      </c>
      <c r="I19" s="860" t="s">
        <v>942</v>
      </c>
      <c r="J19" s="859"/>
      <c r="K19" s="859"/>
      <c r="L19" s="860"/>
      <c r="M19" s="862"/>
      <c r="S19" s="874">
        <f>(8/1000+1/1000)*100</f>
        <v>0.90000000000000013</v>
      </c>
      <c r="U19" s="874">
        <v>3.1</v>
      </c>
      <c r="V19" s="875">
        <v>3.15</v>
      </c>
    </row>
    <row r="20" spans="1:22" ht="15.75" hidden="1" customHeight="1">
      <c r="A20" s="1425" t="s">
        <v>949</v>
      </c>
      <c r="B20" s="1426"/>
      <c r="C20" s="857">
        <f t="shared" si="0"/>
        <v>84620</v>
      </c>
      <c r="D20" s="858"/>
      <c r="E20" s="859">
        <f>E17</f>
        <v>7358790</v>
      </c>
      <c r="F20" s="860" t="s">
        <v>929</v>
      </c>
      <c r="G20" s="867" t="s">
        <v>930</v>
      </c>
      <c r="H20" s="873">
        <f>(0.9+0.25)</f>
        <v>1.1499999999999999</v>
      </c>
      <c r="I20" s="860" t="s">
        <v>942</v>
      </c>
      <c r="J20" s="859"/>
      <c r="K20" s="859"/>
      <c r="L20" s="860"/>
      <c r="M20" s="862"/>
      <c r="N20" s="879" t="s">
        <v>950</v>
      </c>
      <c r="S20" s="874">
        <f>(0.9+0.25)</f>
        <v>1.1499999999999999</v>
      </c>
      <c r="U20" s="874">
        <v>0.9</v>
      </c>
      <c r="V20" s="875">
        <v>0.9</v>
      </c>
    </row>
    <row r="21" spans="1:22" ht="15.75" hidden="1" customHeight="1">
      <c r="A21" s="1425" t="s">
        <v>951</v>
      </c>
      <c r="B21" s="1426"/>
      <c r="C21" s="857">
        <f>ROUNDDOWN(E21*H21%,-1)</f>
        <v>33410</v>
      </c>
      <c r="D21" s="858"/>
      <c r="E21" s="859">
        <f>C18</f>
        <v>260860</v>
      </c>
      <c r="F21" s="860" t="s">
        <v>929</v>
      </c>
      <c r="G21" s="867" t="s">
        <v>930</v>
      </c>
      <c r="H21" s="873">
        <f>(0.9082/7.09)*100</f>
        <v>12.809590973201693</v>
      </c>
      <c r="I21" s="860" t="s">
        <v>942</v>
      </c>
      <c r="J21" s="859"/>
      <c r="K21" s="859"/>
      <c r="L21" s="860"/>
      <c r="M21" s="862"/>
      <c r="S21" s="874">
        <f>(0.9082/7.09)*100</f>
        <v>12.809590973201693</v>
      </c>
      <c r="U21" s="874">
        <v>6.55</v>
      </c>
      <c r="V21" s="875">
        <v>7.38</v>
      </c>
    </row>
    <row r="22" spans="1:22" ht="15.75" hidden="1" customHeight="1">
      <c r="A22" s="1425" t="s">
        <v>952</v>
      </c>
      <c r="B22" s="1426"/>
      <c r="C22" s="857">
        <f>ROUNDDOWN(E22*H22%,-1)</f>
        <v>4410</v>
      </c>
      <c r="D22" s="858"/>
      <c r="E22" s="859">
        <f>E17</f>
        <v>7358790</v>
      </c>
      <c r="F22" s="860" t="s">
        <v>929</v>
      </c>
      <c r="G22" s="867" t="s">
        <v>930</v>
      </c>
      <c r="H22" s="873">
        <f>(0.6/1000)*100</f>
        <v>0.06</v>
      </c>
      <c r="I22" s="860" t="s">
        <v>942</v>
      </c>
      <c r="J22" s="859"/>
      <c r="K22" s="859"/>
      <c r="L22" s="860"/>
      <c r="M22" s="862"/>
      <c r="S22" s="874">
        <f>(0.6/1000)*100</f>
        <v>0.06</v>
      </c>
      <c r="U22" s="874">
        <f>(0.6/1000)*100</f>
        <v>0.06</v>
      </c>
      <c r="V22" s="875">
        <f>(0.6/1000)*100</f>
        <v>0.06</v>
      </c>
    </row>
    <row r="23" spans="1:22" ht="15.75" hidden="1" customHeight="1">
      <c r="A23" s="1425" t="s">
        <v>953</v>
      </c>
      <c r="B23" s="1426"/>
      <c r="C23" s="857">
        <f>ROUNDDOWN(E23*H23%,-1)</f>
        <v>290</v>
      </c>
      <c r="D23" s="858"/>
      <c r="E23" s="859">
        <f>E17</f>
        <v>7358790</v>
      </c>
      <c r="F23" s="860" t="s">
        <v>929</v>
      </c>
      <c r="G23" s="867" t="s">
        <v>930</v>
      </c>
      <c r="H23" s="876">
        <f>(4/100000)*100</f>
        <v>4.0000000000000001E-3</v>
      </c>
      <c r="I23" s="860" t="s">
        <v>942</v>
      </c>
      <c r="J23" s="859"/>
      <c r="K23" s="859"/>
      <c r="L23" s="860"/>
      <c r="M23" s="862"/>
      <c r="S23" s="877">
        <f>(4/100000)*100</f>
        <v>4.0000000000000001E-3</v>
      </c>
      <c r="U23" s="877">
        <v>0</v>
      </c>
      <c r="V23" s="878">
        <v>0</v>
      </c>
    </row>
    <row r="24" spans="1:22" ht="15.75" hidden="1" customHeight="1">
      <c r="A24" s="1425" t="s">
        <v>954</v>
      </c>
      <c r="B24" s="1426"/>
      <c r="C24" s="857">
        <f>+C17+C18+C19+C20+C21+C22+C23</f>
        <v>780950</v>
      </c>
      <c r="D24" s="858"/>
      <c r="E24" s="859"/>
      <c r="F24" s="860"/>
      <c r="G24" s="859"/>
      <c r="H24" s="861"/>
      <c r="I24" s="860"/>
      <c r="J24" s="859"/>
      <c r="K24" s="859"/>
      <c r="L24" s="860"/>
      <c r="M24" s="862"/>
    </row>
    <row r="25" spans="1:22" ht="15.75" hidden="1" customHeight="1">
      <c r="A25" s="1425" t="s">
        <v>955</v>
      </c>
      <c r="B25" s="1426"/>
      <c r="C25" s="857">
        <f>+C16+C24</f>
        <v>8752970</v>
      </c>
      <c r="D25" s="858"/>
      <c r="E25" s="859"/>
      <c r="F25" s="860"/>
      <c r="G25" s="859"/>
      <c r="H25" s="861"/>
      <c r="I25" s="860"/>
      <c r="J25" s="859"/>
      <c r="K25" s="859"/>
      <c r="L25" s="860"/>
      <c r="M25" s="862"/>
      <c r="N25" s="880">
        <f>C26*H10</f>
        <v>8752981.2000000011</v>
      </c>
      <c r="O25" s="881">
        <f>C25-N25</f>
        <v>-11.200000001117587</v>
      </c>
    </row>
    <row r="26" spans="1:22" ht="15.75" hidden="1" customHeight="1">
      <c r="A26" s="1425" t="s">
        <v>956</v>
      </c>
      <c r="B26" s="1426"/>
      <c r="C26" s="857">
        <f>C8</f>
        <v>424902</v>
      </c>
      <c r="D26" s="858"/>
      <c r="E26" s="863"/>
      <c r="F26" s="860"/>
      <c r="G26" s="859"/>
      <c r="H26" s="861"/>
      <c r="I26" s="860"/>
      <c r="J26" s="859"/>
      <c r="K26" s="859"/>
      <c r="L26" s="860"/>
      <c r="M26" s="862"/>
      <c r="N26" s="865"/>
    </row>
    <row r="27" spans="1:22" ht="16.5" hidden="1" customHeight="1">
      <c r="A27" s="1414"/>
      <c r="B27" s="1414"/>
      <c r="C27" s="882"/>
      <c r="D27" s="882"/>
      <c r="E27" s="882"/>
      <c r="F27" s="883"/>
      <c r="G27" s="882"/>
      <c r="H27" s="1423"/>
      <c r="I27" s="1423"/>
      <c r="J27" s="1423"/>
      <c r="K27" s="1423"/>
      <c r="L27" s="1423"/>
      <c r="M27" s="1423"/>
    </row>
    <row r="28" spans="1:22" ht="16.5" customHeight="1">
      <c r="A28" s="1414"/>
      <c r="B28" s="1414"/>
      <c r="C28" s="882"/>
      <c r="D28" s="882"/>
      <c r="E28" s="882"/>
      <c r="F28" s="883"/>
      <c r="G28" s="882"/>
      <c r="H28" s="1424" t="s">
        <v>908</v>
      </c>
      <c r="I28" s="1424"/>
      <c r="J28" s="1424"/>
      <c r="K28" s="1424"/>
      <c r="L28" s="1424"/>
      <c r="M28" s="1424"/>
    </row>
    <row r="29" spans="1:22" ht="15.75" customHeight="1" thickBot="1">
      <c r="A29" s="1416" t="s">
        <v>919</v>
      </c>
      <c r="B29" s="1416"/>
      <c r="C29" s="856" t="s">
        <v>920</v>
      </c>
      <c r="D29" s="1416" t="s">
        <v>921</v>
      </c>
      <c r="E29" s="1416"/>
      <c r="F29" s="1416"/>
      <c r="G29" s="1416"/>
      <c r="H29" s="1416"/>
      <c r="I29" s="1416"/>
      <c r="J29" s="1416"/>
      <c r="K29" s="1416"/>
      <c r="L29" s="1416"/>
      <c r="M29" s="1416"/>
    </row>
    <row r="30" spans="1:22" ht="15.75" customHeight="1" thickBot="1">
      <c r="A30" s="1420" t="s">
        <v>957</v>
      </c>
      <c r="B30" s="1421"/>
      <c r="C30" s="885">
        <f>엔지니어노임!H8</f>
        <v>322680</v>
      </c>
      <c r="D30" s="886"/>
      <c r="E30" s="887"/>
      <c r="F30" s="888"/>
      <c r="G30" s="887"/>
      <c r="H30" s="889"/>
      <c r="I30" s="888"/>
      <c r="J30" s="887"/>
      <c r="K30" s="887"/>
      <c r="L30" s="888"/>
      <c r="M30" s="890"/>
      <c r="N30" s="891" t="s">
        <v>958</v>
      </c>
      <c r="O30" s="892"/>
    </row>
    <row r="31" spans="1:22" ht="15.75" customHeight="1">
      <c r="A31" s="1409" t="s">
        <v>923</v>
      </c>
      <c r="B31" s="1410"/>
      <c r="C31" s="885">
        <f>TRUNC((C32+C34+C36)/209,0)</f>
        <v>25517</v>
      </c>
      <c r="D31" s="886"/>
      <c r="E31" s="893" t="s">
        <v>959</v>
      </c>
      <c r="F31" s="888"/>
      <c r="G31" s="887"/>
      <c r="H31" s="889"/>
      <c r="I31" s="888"/>
      <c r="J31" s="887"/>
      <c r="K31" s="887"/>
      <c r="L31" s="888"/>
      <c r="M31" s="890"/>
    </row>
    <row r="32" spans="1:22" ht="15.75" customHeight="1">
      <c r="A32" s="1411" t="s">
        <v>928</v>
      </c>
      <c r="B32" s="1412"/>
      <c r="C32" s="885">
        <f>TRUNC(E32*H32,0)</f>
        <v>3454846</v>
      </c>
      <c r="D32" s="886"/>
      <c r="E32" s="887">
        <v>167711</v>
      </c>
      <c r="F32" s="888" t="s">
        <v>929</v>
      </c>
      <c r="G32" s="894" t="s">
        <v>930</v>
      </c>
      <c r="H32" s="895">
        <v>20.6</v>
      </c>
      <c r="I32" s="888" t="s">
        <v>931</v>
      </c>
      <c r="J32" s="887"/>
      <c r="K32" s="887"/>
      <c r="L32" s="888"/>
      <c r="M32" s="890"/>
    </row>
    <row r="33" spans="1:23" ht="15.75" customHeight="1">
      <c r="A33" s="1411" t="s">
        <v>933</v>
      </c>
      <c r="B33" s="1412"/>
      <c r="C33" s="885">
        <f>TRUNC(C34+C35,0)</f>
        <v>981917</v>
      </c>
      <c r="D33" s="886"/>
      <c r="E33" s="887"/>
      <c r="F33" s="888"/>
      <c r="G33" s="887"/>
      <c r="H33" s="889"/>
      <c r="I33" s="888"/>
      <c r="J33" s="887"/>
      <c r="K33" s="887"/>
      <c r="L33" s="888"/>
      <c r="M33" s="890"/>
    </row>
    <row r="34" spans="1:23" ht="15.75" customHeight="1">
      <c r="A34" s="1409" t="s">
        <v>934</v>
      </c>
      <c r="B34" s="1410"/>
      <c r="C34" s="885">
        <f>TRUNC(E34*H34/K34,0)</f>
        <v>726747</v>
      </c>
      <c r="D34" s="886"/>
      <c r="E34" s="887">
        <f>E32</f>
        <v>167711</v>
      </c>
      <c r="F34" s="888" t="s">
        <v>929</v>
      </c>
      <c r="G34" s="894" t="s">
        <v>930</v>
      </c>
      <c r="H34" s="889">
        <v>52</v>
      </c>
      <c r="I34" s="888" t="s">
        <v>931</v>
      </c>
      <c r="J34" s="896" t="s">
        <v>935</v>
      </c>
      <c r="K34" s="887">
        <v>12</v>
      </c>
      <c r="L34" s="888" t="s">
        <v>936</v>
      </c>
      <c r="M34" s="890"/>
    </row>
    <row r="35" spans="1:23" ht="15.75" customHeight="1">
      <c r="A35" s="1409" t="s">
        <v>939</v>
      </c>
      <c r="B35" s="1410"/>
      <c r="C35" s="885">
        <f>TRUNC(E35*H35/K35,0)</f>
        <v>255170</v>
      </c>
      <c r="D35" s="886"/>
      <c r="E35" s="887">
        <f>C31*8</f>
        <v>204136</v>
      </c>
      <c r="F35" s="888" t="s">
        <v>929</v>
      </c>
      <c r="G35" s="894" t="s">
        <v>930</v>
      </c>
      <c r="H35" s="889">
        <v>15</v>
      </c>
      <c r="I35" s="846" t="s">
        <v>931</v>
      </c>
      <c r="J35" s="896" t="s">
        <v>935</v>
      </c>
      <c r="K35" s="887">
        <v>12</v>
      </c>
      <c r="L35" s="888" t="s">
        <v>936</v>
      </c>
      <c r="M35" s="890"/>
    </row>
    <row r="36" spans="1:23" ht="15.75" customHeight="1">
      <c r="A36" s="1411" t="s">
        <v>941</v>
      </c>
      <c r="B36" s="1412"/>
      <c r="C36" s="885">
        <f>TRUNC(E36*H36%/K36,0)</f>
        <v>1151615</v>
      </c>
      <c r="D36" s="886"/>
      <c r="E36" s="887">
        <f>C32</f>
        <v>3454846</v>
      </c>
      <c r="F36" s="888" t="s">
        <v>929</v>
      </c>
      <c r="G36" s="894" t="s">
        <v>930</v>
      </c>
      <c r="H36" s="889">
        <v>400</v>
      </c>
      <c r="I36" s="888" t="s">
        <v>942</v>
      </c>
      <c r="J36" s="896" t="s">
        <v>935</v>
      </c>
      <c r="K36" s="887">
        <v>12</v>
      </c>
      <c r="L36" s="888" t="s">
        <v>936</v>
      </c>
      <c r="M36" s="890"/>
    </row>
    <row r="37" spans="1:23" ht="15.75" customHeight="1">
      <c r="A37" s="1411" t="s">
        <v>943</v>
      </c>
      <c r="B37" s="1412"/>
      <c r="C37" s="885">
        <f>TRUNC((C32+C33+C36)/12,0)</f>
        <v>465698</v>
      </c>
      <c r="D37" s="886"/>
      <c r="E37" s="1413" t="s">
        <v>960</v>
      </c>
      <c r="F37" s="1413"/>
      <c r="G37" s="1413"/>
      <c r="H37" s="1413"/>
      <c r="I37" s="1413"/>
      <c r="J37" s="1413"/>
      <c r="K37" s="1413"/>
      <c r="L37" s="1413"/>
      <c r="M37" s="890"/>
    </row>
    <row r="38" spans="1:23" ht="15.75" customHeight="1">
      <c r="A38" s="1409" t="s">
        <v>945</v>
      </c>
      <c r="B38" s="1410"/>
      <c r="C38" s="885">
        <f>+C32+C33+C36+C37</f>
        <v>6054076</v>
      </c>
      <c r="D38" s="886"/>
      <c r="E38" s="887"/>
      <c r="F38" s="888"/>
      <c r="G38" s="887"/>
      <c r="H38" s="889"/>
      <c r="I38" s="888"/>
      <c r="J38" s="887"/>
      <c r="K38" s="887"/>
      <c r="L38" s="888"/>
      <c r="M38" s="890"/>
      <c r="N38" s="897" t="s">
        <v>961</v>
      </c>
      <c r="O38" s="881">
        <f>C38</f>
        <v>6054076</v>
      </c>
      <c r="P38" s="898" t="s">
        <v>962</v>
      </c>
      <c r="Q38" s="897">
        <f>C37</f>
        <v>465698</v>
      </c>
      <c r="R38" s="898" t="s">
        <v>963</v>
      </c>
      <c r="S38" s="897">
        <f>O38-Q38</f>
        <v>5588378</v>
      </c>
      <c r="T38" s="848" t="s">
        <v>964</v>
      </c>
      <c r="U38" s="848" t="s">
        <v>965</v>
      </c>
      <c r="V38" s="898" t="s">
        <v>963</v>
      </c>
      <c r="W38" s="897">
        <f>S38*12</f>
        <v>67060536</v>
      </c>
    </row>
    <row r="39" spans="1:23" ht="15.75" customHeight="1">
      <c r="A39" s="1409" t="s">
        <v>946</v>
      </c>
      <c r="B39" s="1410"/>
      <c r="C39" s="885">
        <f>TRUNC(E39*H39%,0)</f>
        <v>251477</v>
      </c>
      <c r="D39" s="886"/>
      <c r="E39" s="887">
        <f>+C38-C37</f>
        <v>5588378</v>
      </c>
      <c r="F39" s="888" t="s">
        <v>929</v>
      </c>
      <c r="G39" s="894" t="s">
        <v>930</v>
      </c>
      <c r="H39" s="875">
        <f>보험료산정기준!$I$8</f>
        <v>4.5</v>
      </c>
      <c r="I39" s="888" t="s">
        <v>942</v>
      </c>
      <c r="J39" s="887"/>
      <c r="K39" s="887"/>
      <c r="L39" s="888"/>
      <c r="M39" s="890"/>
      <c r="N39" s="897">
        <f>C38*12</f>
        <v>72648912</v>
      </c>
    </row>
    <row r="40" spans="1:23" ht="15.75" customHeight="1">
      <c r="A40" s="1409" t="s">
        <v>947</v>
      </c>
      <c r="B40" s="1410"/>
      <c r="C40" s="885">
        <f t="shared" ref="C40:C45" si="1">TRUNC(E40*H40%,0)</f>
        <v>198108</v>
      </c>
      <c r="D40" s="886"/>
      <c r="E40" s="887">
        <f>E39</f>
        <v>5588378</v>
      </c>
      <c r="F40" s="888" t="s">
        <v>929</v>
      </c>
      <c r="G40" s="894" t="s">
        <v>930</v>
      </c>
      <c r="H40" s="878">
        <f>보험료산정기준!$I$10</f>
        <v>3.5449999999999999</v>
      </c>
      <c r="I40" s="888" t="s">
        <v>942</v>
      </c>
      <c r="J40" s="887"/>
      <c r="K40" s="887"/>
      <c r="L40" s="888"/>
      <c r="M40" s="890"/>
    </row>
    <row r="41" spans="1:23" ht="15.75" customHeight="1">
      <c r="A41" s="1409" t="s">
        <v>948</v>
      </c>
      <c r="B41" s="1410"/>
      <c r="C41" s="885">
        <f t="shared" si="1"/>
        <v>50295</v>
      </c>
      <c r="D41" s="886"/>
      <c r="E41" s="887">
        <f>E39</f>
        <v>5588378</v>
      </c>
      <c r="F41" s="888" t="s">
        <v>929</v>
      </c>
      <c r="G41" s="894" t="s">
        <v>930</v>
      </c>
      <c r="H41" s="875">
        <f>보험료산정기준!$I$7</f>
        <v>0.9</v>
      </c>
      <c r="I41" s="888" t="s">
        <v>942</v>
      </c>
      <c r="J41" s="887"/>
      <c r="K41" s="887"/>
      <c r="L41" s="888"/>
      <c r="M41" s="890"/>
    </row>
    <row r="42" spans="1:23" ht="15.75" customHeight="1">
      <c r="A42" s="1409" t="s">
        <v>949</v>
      </c>
      <c r="B42" s="1410"/>
      <c r="C42" s="885">
        <f t="shared" si="1"/>
        <v>64266</v>
      </c>
      <c r="D42" s="886"/>
      <c r="E42" s="887">
        <f>E39</f>
        <v>5588378</v>
      </c>
      <c r="F42" s="888" t="s">
        <v>929</v>
      </c>
      <c r="G42" s="894" t="s">
        <v>930</v>
      </c>
      <c r="H42" s="875">
        <f>보험료산정기준!$I$9</f>
        <v>1.1499999999999999</v>
      </c>
      <c r="I42" s="888" t="s">
        <v>942</v>
      </c>
      <c r="J42" s="887"/>
      <c r="K42" s="887"/>
      <c r="L42" s="888"/>
      <c r="M42" s="890"/>
    </row>
    <row r="43" spans="1:23" ht="15.75" customHeight="1">
      <c r="A43" s="1409" t="s">
        <v>951</v>
      </c>
      <c r="B43" s="1410"/>
      <c r="C43" s="885">
        <f t="shared" si="1"/>
        <v>25377</v>
      </c>
      <c r="D43" s="886"/>
      <c r="E43" s="887">
        <f>C40</f>
        <v>198108</v>
      </c>
      <c r="F43" s="888" t="s">
        <v>929</v>
      </c>
      <c r="G43" s="894" t="s">
        <v>930</v>
      </c>
      <c r="H43" s="875">
        <f>보험료산정기준!$I$11</f>
        <v>12.81</v>
      </c>
      <c r="I43" s="888" t="s">
        <v>942</v>
      </c>
      <c r="J43" s="887"/>
      <c r="K43" s="887"/>
      <c r="L43" s="888"/>
      <c r="M43" s="890"/>
      <c r="N43" s="899" t="s">
        <v>966</v>
      </c>
      <c r="O43" s="900">
        <f>E43</f>
        <v>198108</v>
      </c>
      <c r="P43" s="848" t="s">
        <v>964</v>
      </c>
      <c r="Q43" s="848" t="s">
        <v>965</v>
      </c>
      <c r="R43" s="898" t="s">
        <v>963</v>
      </c>
      <c r="S43" s="897">
        <f>O43*12</f>
        <v>2377296</v>
      </c>
      <c r="T43" s="899"/>
      <c r="U43" s="899"/>
      <c r="V43" s="901"/>
      <c r="W43" s="901"/>
    </row>
    <row r="44" spans="1:23" ht="15.75" customHeight="1">
      <c r="A44" s="1409" t="s">
        <v>952</v>
      </c>
      <c r="B44" s="1410"/>
      <c r="C44" s="885">
        <f t="shared" si="1"/>
        <v>3353</v>
      </c>
      <c r="D44" s="886"/>
      <c r="E44" s="887">
        <f>E39</f>
        <v>5588378</v>
      </c>
      <c r="F44" s="888" t="s">
        <v>929</v>
      </c>
      <c r="G44" s="894" t="s">
        <v>930</v>
      </c>
      <c r="H44" s="875">
        <f>보험료산정기준!$I$12</f>
        <v>0.06</v>
      </c>
      <c r="I44" s="888" t="s">
        <v>942</v>
      </c>
      <c r="J44" s="887"/>
      <c r="K44" s="887"/>
      <c r="L44" s="888"/>
      <c r="M44" s="890"/>
    </row>
    <row r="45" spans="1:23" ht="15.75" customHeight="1">
      <c r="A45" s="1409" t="s">
        <v>953</v>
      </c>
      <c r="B45" s="1410"/>
      <c r="C45" s="885">
        <f t="shared" si="1"/>
        <v>223</v>
      </c>
      <c r="D45" s="886"/>
      <c r="E45" s="887">
        <f>E39</f>
        <v>5588378</v>
      </c>
      <c r="F45" s="888" t="s">
        <v>929</v>
      </c>
      <c r="G45" s="894" t="s">
        <v>930</v>
      </c>
      <c r="H45" s="878">
        <f>보험료산정기준!$I$13</f>
        <v>4.0000000000000001E-3</v>
      </c>
      <c r="I45" s="888" t="s">
        <v>942</v>
      </c>
      <c r="J45" s="887"/>
      <c r="K45" s="887"/>
      <c r="L45" s="888"/>
      <c r="M45" s="890"/>
    </row>
    <row r="46" spans="1:23" ht="15.75" customHeight="1">
      <c r="A46" s="1409" t="s">
        <v>954</v>
      </c>
      <c r="B46" s="1410"/>
      <c r="C46" s="885">
        <f>+C39+C40+C41+C42+C43+C44+C45</f>
        <v>593099</v>
      </c>
      <c r="D46" s="886"/>
      <c r="E46" s="887"/>
      <c r="F46" s="888"/>
      <c r="G46" s="887"/>
      <c r="H46" s="889"/>
      <c r="I46" s="888"/>
      <c r="J46" s="887"/>
      <c r="K46" s="887"/>
      <c r="L46" s="888"/>
      <c r="M46" s="890"/>
    </row>
    <row r="47" spans="1:23" ht="15.75" customHeight="1">
      <c r="A47" s="1409" t="s">
        <v>955</v>
      </c>
      <c r="B47" s="1410"/>
      <c r="C47" s="885">
        <f>+C38+C46</f>
        <v>6647175</v>
      </c>
      <c r="D47" s="886"/>
      <c r="E47" s="887"/>
      <c r="F47" s="888"/>
      <c r="G47" s="887"/>
      <c r="H47" s="889"/>
      <c r="I47" s="888"/>
      <c r="J47" s="887"/>
      <c r="K47" s="887"/>
      <c r="L47" s="888"/>
      <c r="M47" s="890"/>
      <c r="N47" s="881">
        <f>C48*H32</f>
        <v>6647208</v>
      </c>
      <c r="O47" s="881">
        <f>C47-N47</f>
        <v>-33</v>
      </c>
    </row>
    <row r="48" spans="1:23" ht="15.75" customHeight="1">
      <c r="A48" s="1409" t="s">
        <v>956</v>
      </c>
      <c r="B48" s="1410"/>
      <c r="C48" s="885">
        <f>C30</f>
        <v>322680</v>
      </c>
      <c r="D48" s="886"/>
      <c r="E48" s="893"/>
      <c r="F48" s="888"/>
      <c r="G48" s="887"/>
      <c r="H48" s="889"/>
      <c r="I48" s="888"/>
      <c r="J48" s="887"/>
      <c r="K48" s="887"/>
      <c r="L48" s="888"/>
      <c r="M48" s="890"/>
    </row>
    <row r="49" spans="1:23" ht="16.5" customHeight="1">
      <c r="A49" s="1414"/>
      <c r="B49" s="1414"/>
      <c r="C49" s="882"/>
      <c r="D49" s="882"/>
      <c r="E49" s="882"/>
      <c r="F49" s="883"/>
      <c r="G49" s="882"/>
      <c r="H49" s="1415"/>
      <c r="I49" s="1415"/>
      <c r="J49" s="1415"/>
      <c r="K49" s="1415"/>
      <c r="L49" s="1415"/>
      <c r="M49" s="1415"/>
      <c r="O49" s="881"/>
    </row>
    <row r="50" spans="1:23" ht="16.5" hidden="1" customHeight="1">
      <c r="A50" s="852"/>
      <c r="B50" s="852"/>
      <c r="C50" s="882"/>
      <c r="D50" s="882"/>
      <c r="E50" s="882"/>
      <c r="F50" s="883"/>
      <c r="G50" s="882"/>
      <c r="H50" s="902"/>
      <c r="I50" s="902"/>
      <c r="J50" s="902"/>
      <c r="K50" s="902"/>
      <c r="L50" s="902"/>
      <c r="M50" s="902"/>
    </row>
    <row r="51" spans="1:23" ht="16.5" hidden="1" customHeight="1">
      <c r="A51" s="852"/>
      <c r="B51" s="852"/>
      <c r="C51" s="882"/>
      <c r="D51" s="882"/>
      <c r="E51" s="882"/>
      <c r="F51" s="883"/>
      <c r="G51" s="882"/>
      <c r="H51" s="902"/>
      <c r="I51" s="902"/>
      <c r="J51" s="902"/>
      <c r="K51" s="902"/>
      <c r="L51" s="902"/>
      <c r="M51" s="902"/>
    </row>
    <row r="52" spans="1:23" ht="16.5" customHeight="1">
      <c r="A52" s="851"/>
      <c r="B52" s="852"/>
      <c r="C52" s="852"/>
      <c r="D52" s="852"/>
      <c r="E52" s="852"/>
      <c r="F52" s="853"/>
      <c r="G52" s="852"/>
      <c r="H52" s="854"/>
      <c r="I52" s="853"/>
      <c r="J52" s="852"/>
      <c r="K52" s="852"/>
      <c r="L52" s="853"/>
      <c r="M52" s="854" t="s">
        <v>918</v>
      </c>
    </row>
    <row r="53" spans="1:23" ht="16.5" hidden="1" customHeight="1">
      <c r="A53" s="855"/>
    </row>
    <row r="54" spans="1:23" ht="15.75" customHeight="1">
      <c r="A54" s="1416" t="s">
        <v>919</v>
      </c>
      <c r="B54" s="1416"/>
      <c r="C54" s="856" t="s">
        <v>920</v>
      </c>
      <c r="D54" s="1417" t="s">
        <v>921</v>
      </c>
      <c r="E54" s="1418"/>
      <c r="F54" s="1418"/>
      <c r="G54" s="1418"/>
      <c r="H54" s="1418"/>
      <c r="I54" s="1418"/>
      <c r="J54" s="1418"/>
      <c r="K54" s="1418"/>
      <c r="L54" s="1418"/>
      <c r="M54" s="1419"/>
    </row>
    <row r="55" spans="1:23" ht="15.75" customHeight="1">
      <c r="A55" s="1422" t="s">
        <v>967</v>
      </c>
      <c r="B55" s="1422"/>
      <c r="C55" s="885">
        <f>엔지니어노임!H9</f>
        <v>293753</v>
      </c>
      <c r="D55" s="886"/>
      <c r="E55" s="887"/>
      <c r="F55" s="888"/>
      <c r="G55" s="887"/>
      <c r="H55" s="889"/>
      <c r="I55" s="888"/>
      <c r="J55" s="887"/>
      <c r="K55" s="887"/>
      <c r="L55" s="888"/>
      <c r="M55" s="890"/>
    </row>
    <row r="56" spans="1:23" ht="15.75" customHeight="1">
      <c r="A56" s="1409" t="s">
        <v>923</v>
      </c>
      <c r="B56" s="1410"/>
      <c r="C56" s="885">
        <f>TRUNC((C57+C59+C61)/209,0)</f>
        <v>23230</v>
      </c>
      <c r="D56" s="886"/>
      <c r="E56" s="893" t="s">
        <v>959</v>
      </c>
      <c r="F56" s="888"/>
      <c r="G56" s="887"/>
      <c r="H56" s="889"/>
      <c r="I56" s="888"/>
      <c r="J56" s="887"/>
      <c r="K56" s="887"/>
      <c r="L56" s="888"/>
      <c r="M56" s="890"/>
    </row>
    <row r="57" spans="1:23" ht="15.75" customHeight="1">
      <c r="A57" s="1411" t="s">
        <v>928</v>
      </c>
      <c r="B57" s="1412"/>
      <c r="C57" s="885">
        <f>TRUNC(E57*H57,0)</f>
        <v>3145125</v>
      </c>
      <c r="D57" s="886"/>
      <c r="E57" s="887">
        <v>152676</v>
      </c>
      <c r="F57" s="888" t="s">
        <v>929</v>
      </c>
      <c r="G57" s="894" t="s">
        <v>930</v>
      </c>
      <c r="H57" s="895">
        <v>20.6</v>
      </c>
      <c r="I57" s="888" t="s">
        <v>931</v>
      </c>
      <c r="J57" s="887"/>
      <c r="K57" s="887"/>
      <c r="L57" s="888"/>
      <c r="M57" s="890"/>
    </row>
    <row r="58" spans="1:23" ht="15.75" customHeight="1">
      <c r="A58" s="1411" t="s">
        <v>933</v>
      </c>
      <c r="B58" s="1412"/>
      <c r="C58" s="885">
        <f>TRUNC(C59+C60,0)</f>
        <v>893896</v>
      </c>
      <c r="D58" s="886"/>
      <c r="E58" s="887"/>
      <c r="F58" s="888"/>
      <c r="G58" s="887"/>
      <c r="H58" s="889"/>
      <c r="I58" s="888"/>
      <c r="J58" s="887"/>
      <c r="K58" s="887"/>
      <c r="L58" s="888"/>
      <c r="M58" s="890"/>
    </row>
    <row r="59" spans="1:23" ht="15.75" customHeight="1">
      <c r="A59" s="1409" t="s">
        <v>934</v>
      </c>
      <c r="B59" s="1410"/>
      <c r="C59" s="885">
        <f>TRUNC(E59*H59/K59,0)</f>
        <v>661596</v>
      </c>
      <c r="D59" s="886"/>
      <c r="E59" s="887">
        <f>E57</f>
        <v>152676</v>
      </c>
      <c r="F59" s="888" t="s">
        <v>929</v>
      </c>
      <c r="G59" s="894" t="s">
        <v>930</v>
      </c>
      <c r="H59" s="889">
        <v>52</v>
      </c>
      <c r="I59" s="888" t="s">
        <v>931</v>
      </c>
      <c r="J59" s="896" t="s">
        <v>935</v>
      </c>
      <c r="K59" s="887">
        <v>12</v>
      </c>
      <c r="L59" s="888" t="s">
        <v>936</v>
      </c>
      <c r="M59" s="890"/>
    </row>
    <row r="60" spans="1:23" ht="15.75" customHeight="1">
      <c r="A60" s="1409" t="s">
        <v>939</v>
      </c>
      <c r="B60" s="1410"/>
      <c r="C60" s="885">
        <f>TRUNC(E60*H60/K60,0)</f>
        <v>232300</v>
      </c>
      <c r="D60" s="886"/>
      <c r="E60" s="887">
        <f>C56*8</f>
        <v>185840</v>
      </c>
      <c r="F60" s="888" t="s">
        <v>929</v>
      </c>
      <c r="G60" s="894" t="s">
        <v>930</v>
      </c>
      <c r="H60" s="889">
        <v>15</v>
      </c>
      <c r="I60" s="846" t="s">
        <v>931</v>
      </c>
      <c r="J60" s="896" t="s">
        <v>935</v>
      </c>
      <c r="K60" s="887">
        <v>12</v>
      </c>
      <c r="L60" s="888" t="s">
        <v>936</v>
      </c>
      <c r="M60" s="890"/>
    </row>
    <row r="61" spans="1:23" ht="15.75" customHeight="1">
      <c r="A61" s="1411" t="s">
        <v>941</v>
      </c>
      <c r="B61" s="1412"/>
      <c r="C61" s="885">
        <f>TRUNC(E61*H61%/K61,0)</f>
        <v>1048375</v>
      </c>
      <c r="D61" s="886"/>
      <c r="E61" s="887">
        <f>C57</f>
        <v>3145125</v>
      </c>
      <c r="F61" s="888" t="s">
        <v>929</v>
      </c>
      <c r="G61" s="894" t="s">
        <v>930</v>
      </c>
      <c r="H61" s="889">
        <v>400</v>
      </c>
      <c r="I61" s="888" t="s">
        <v>942</v>
      </c>
      <c r="J61" s="896" t="s">
        <v>935</v>
      </c>
      <c r="K61" s="887">
        <v>12</v>
      </c>
      <c r="L61" s="888" t="s">
        <v>936</v>
      </c>
      <c r="M61" s="890"/>
    </row>
    <row r="62" spans="1:23" ht="15.75" customHeight="1">
      <c r="A62" s="1411" t="s">
        <v>943</v>
      </c>
      <c r="B62" s="1412"/>
      <c r="C62" s="885">
        <f>TRUNC((C57+C58+C61)/12,0)</f>
        <v>423949</v>
      </c>
      <c r="D62" s="886"/>
      <c r="E62" s="1413" t="s">
        <v>960</v>
      </c>
      <c r="F62" s="1413"/>
      <c r="G62" s="1413"/>
      <c r="H62" s="1413"/>
      <c r="I62" s="1413"/>
      <c r="J62" s="1413"/>
      <c r="K62" s="1413"/>
      <c r="L62" s="1413"/>
      <c r="M62" s="890"/>
    </row>
    <row r="63" spans="1:23" ht="15.75" customHeight="1">
      <c r="A63" s="1409" t="s">
        <v>945</v>
      </c>
      <c r="B63" s="1410"/>
      <c r="C63" s="885">
        <f>+C57+C58+C61+C62</f>
        <v>5511345</v>
      </c>
      <c r="D63" s="886"/>
      <c r="E63" s="887"/>
      <c r="F63" s="888"/>
      <c r="G63" s="887"/>
      <c r="H63" s="889"/>
      <c r="I63" s="888"/>
      <c r="J63" s="887"/>
      <c r="K63" s="887"/>
      <c r="L63" s="888"/>
      <c r="M63" s="890"/>
      <c r="N63" s="897" t="s">
        <v>961</v>
      </c>
      <c r="O63" s="881">
        <f>C63</f>
        <v>5511345</v>
      </c>
      <c r="P63" s="898" t="s">
        <v>962</v>
      </c>
      <c r="Q63" s="897">
        <f>C62</f>
        <v>423949</v>
      </c>
      <c r="R63" s="898" t="s">
        <v>963</v>
      </c>
      <c r="S63" s="897">
        <f>O63-Q63</f>
        <v>5087396</v>
      </c>
      <c r="T63" s="848" t="s">
        <v>964</v>
      </c>
      <c r="U63" s="848" t="s">
        <v>965</v>
      </c>
      <c r="V63" s="898" t="s">
        <v>963</v>
      </c>
      <c r="W63" s="897">
        <f>S63*12</f>
        <v>61048752</v>
      </c>
    </row>
    <row r="64" spans="1:23" ht="15.75" customHeight="1">
      <c r="A64" s="1409" t="s">
        <v>946</v>
      </c>
      <c r="B64" s="1410"/>
      <c r="C64" s="885">
        <f>TRUNC(E64*H64%,0)</f>
        <v>228932</v>
      </c>
      <c r="D64" s="886"/>
      <c r="E64" s="887">
        <f>+C63-C62</f>
        <v>5087396</v>
      </c>
      <c r="F64" s="888" t="s">
        <v>929</v>
      </c>
      <c r="G64" s="894" t="s">
        <v>930</v>
      </c>
      <c r="H64" s="875">
        <f>보험료산정기준!$I$8</f>
        <v>4.5</v>
      </c>
      <c r="I64" s="888" t="s">
        <v>942</v>
      </c>
      <c r="J64" s="887"/>
      <c r="K64" s="887"/>
      <c r="L64" s="888"/>
      <c r="M64" s="890"/>
      <c r="N64" s="897">
        <f>C63*12</f>
        <v>66136140</v>
      </c>
    </row>
    <row r="65" spans="1:19" ht="15.75" customHeight="1">
      <c r="A65" s="1409" t="s">
        <v>947</v>
      </c>
      <c r="B65" s="1410"/>
      <c r="C65" s="885">
        <f t="shared" ref="C65:C70" si="2">TRUNC(E65*H65%,0)</f>
        <v>180348</v>
      </c>
      <c r="D65" s="886"/>
      <c r="E65" s="887">
        <f>E64</f>
        <v>5087396</v>
      </c>
      <c r="F65" s="888" t="s">
        <v>929</v>
      </c>
      <c r="G65" s="894" t="s">
        <v>930</v>
      </c>
      <c r="H65" s="878">
        <f>보험료산정기준!$I$10</f>
        <v>3.5449999999999999</v>
      </c>
      <c r="I65" s="888" t="s">
        <v>942</v>
      </c>
      <c r="J65" s="887"/>
      <c r="K65" s="887"/>
      <c r="L65" s="888"/>
      <c r="M65" s="890"/>
    </row>
    <row r="66" spans="1:19" ht="15.75" customHeight="1">
      <c r="A66" s="1409" t="s">
        <v>948</v>
      </c>
      <c r="B66" s="1410"/>
      <c r="C66" s="885">
        <f t="shared" si="2"/>
        <v>45786</v>
      </c>
      <c r="D66" s="886"/>
      <c r="E66" s="887">
        <f>E64</f>
        <v>5087396</v>
      </c>
      <c r="F66" s="888" t="s">
        <v>929</v>
      </c>
      <c r="G66" s="894" t="s">
        <v>930</v>
      </c>
      <c r="H66" s="875">
        <f>보험료산정기준!$I$7</f>
        <v>0.9</v>
      </c>
      <c r="I66" s="888" t="s">
        <v>942</v>
      </c>
      <c r="J66" s="887"/>
      <c r="K66" s="887"/>
      <c r="L66" s="888"/>
      <c r="M66" s="890"/>
    </row>
    <row r="67" spans="1:19" ht="15.75" customHeight="1">
      <c r="A67" s="1409" t="s">
        <v>949</v>
      </c>
      <c r="B67" s="1410"/>
      <c r="C67" s="885">
        <f t="shared" si="2"/>
        <v>58505</v>
      </c>
      <c r="D67" s="886"/>
      <c r="E67" s="887">
        <f>E64</f>
        <v>5087396</v>
      </c>
      <c r="F67" s="888" t="s">
        <v>929</v>
      </c>
      <c r="G67" s="894" t="s">
        <v>930</v>
      </c>
      <c r="H67" s="875">
        <f>보험료산정기준!$I$9</f>
        <v>1.1499999999999999</v>
      </c>
      <c r="I67" s="888" t="s">
        <v>942</v>
      </c>
      <c r="J67" s="887"/>
      <c r="K67" s="887"/>
      <c r="L67" s="888"/>
      <c r="M67" s="890"/>
    </row>
    <row r="68" spans="1:19" ht="15.75" customHeight="1">
      <c r="A68" s="1409" t="s">
        <v>951</v>
      </c>
      <c r="B68" s="1410"/>
      <c r="C68" s="885">
        <f t="shared" si="2"/>
        <v>23102</v>
      </c>
      <c r="D68" s="886"/>
      <c r="E68" s="887">
        <f>C65</f>
        <v>180348</v>
      </c>
      <c r="F68" s="888" t="s">
        <v>929</v>
      </c>
      <c r="G68" s="894" t="s">
        <v>930</v>
      </c>
      <c r="H68" s="875">
        <f>보험료산정기준!$I$11</f>
        <v>12.81</v>
      </c>
      <c r="I68" s="888" t="s">
        <v>942</v>
      </c>
      <c r="J68" s="887"/>
      <c r="K68" s="887"/>
      <c r="L68" s="888"/>
      <c r="M68" s="890"/>
      <c r="N68" s="899" t="s">
        <v>966</v>
      </c>
      <c r="O68" s="900">
        <f>E68</f>
        <v>180348</v>
      </c>
      <c r="P68" s="848" t="s">
        <v>964</v>
      </c>
      <c r="Q68" s="848" t="s">
        <v>965</v>
      </c>
      <c r="R68" s="898" t="s">
        <v>963</v>
      </c>
      <c r="S68" s="897">
        <f>O68*12</f>
        <v>2164176</v>
      </c>
    </row>
    <row r="69" spans="1:19" ht="15.75" customHeight="1">
      <c r="A69" s="1409" t="s">
        <v>952</v>
      </c>
      <c r="B69" s="1410"/>
      <c r="C69" s="885">
        <f t="shared" si="2"/>
        <v>3052</v>
      </c>
      <c r="D69" s="886"/>
      <c r="E69" s="887">
        <f>E64</f>
        <v>5087396</v>
      </c>
      <c r="F69" s="888" t="s">
        <v>929</v>
      </c>
      <c r="G69" s="894" t="s">
        <v>930</v>
      </c>
      <c r="H69" s="875">
        <f>보험료산정기준!$I$12</f>
        <v>0.06</v>
      </c>
      <c r="I69" s="888" t="s">
        <v>942</v>
      </c>
      <c r="J69" s="887"/>
      <c r="K69" s="887"/>
      <c r="L69" s="888"/>
      <c r="M69" s="890"/>
    </row>
    <row r="70" spans="1:19" ht="15.75" customHeight="1">
      <c r="A70" s="1409" t="s">
        <v>953</v>
      </c>
      <c r="B70" s="1410"/>
      <c r="C70" s="885">
        <f t="shared" si="2"/>
        <v>203</v>
      </c>
      <c r="D70" s="886"/>
      <c r="E70" s="887">
        <f>E64</f>
        <v>5087396</v>
      </c>
      <c r="F70" s="888" t="s">
        <v>929</v>
      </c>
      <c r="G70" s="894" t="s">
        <v>930</v>
      </c>
      <c r="H70" s="878">
        <f>보험료산정기준!$I$13</f>
        <v>4.0000000000000001E-3</v>
      </c>
      <c r="I70" s="888" t="s">
        <v>942</v>
      </c>
      <c r="J70" s="887"/>
      <c r="K70" s="887"/>
      <c r="L70" s="888"/>
      <c r="M70" s="890"/>
    </row>
    <row r="71" spans="1:19" ht="15.75" customHeight="1">
      <c r="A71" s="1409" t="s">
        <v>954</v>
      </c>
      <c r="B71" s="1410"/>
      <c r="C71" s="885">
        <f>+C64+C65+C66+C67+C68+C69+C70</f>
        <v>539928</v>
      </c>
      <c r="D71" s="886"/>
      <c r="E71" s="887"/>
      <c r="F71" s="888"/>
      <c r="G71" s="887"/>
      <c r="H71" s="889"/>
      <c r="I71" s="888"/>
      <c r="J71" s="887"/>
      <c r="K71" s="887"/>
      <c r="L71" s="888"/>
      <c r="M71" s="890"/>
    </row>
    <row r="72" spans="1:19" ht="15.75" customHeight="1">
      <c r="A72" s="1409" t="s">
        <v>955</v>
      </c>
      <c r="B72" s="1410"/>
      <c r="C72" s="885">
        <f>+C63+C71</f>
        <v>6051273</v>
      </c>
      <c r="D72" s="886"/>
      <c r="E72" s="887"/>
      <c r="F72" s="888"/>
      <c r="G72" s="887"/>
      <c r="H72" s="889"/>
      <c r="I72" s="888"/>
      <c r="J72" s="887"/>
      <c r="K72" s="887"/>
      <c r="L72" s="888"/>
      <c r="M72" s="890"/>
      <c r="N72" s="881">
        <f>C73*H57</f>
        <v>6051311.8000000007</v>
      </c>
      <c r="O72" s="881">
        <f>C72-N72</f>
        <v>-38.800000000745058</v>
      </c>
    </row>
    <row r="73" spans="1:19" ht="15.75" customHeight="1">
      <c r="A73" s="1409" t="s">
        <v>956</v>
      </c>
      <c r="B73" s="1410"/>
      <c r="C73" s="885">
        <f>C55</f>
        <v>293753</v>
      </c>
      <c r="D73" s="886"/>
      <c r="E73" s="893"/>
      <c r="F73" s="888"/>
      <c r="G73" s="887"/>
      <c r="H73" s="889"/>
      <c r="I73" s="888"/>
      <c r="J73" s="887"/>
      <c r="K73" s="887"/>
      <c r="L73" s="888"/>
      <c r="M73" s="890"/>
    </row>
    <row r="74" spans="1:19" ht="16.5" customHeight="1">
      <c r="A74" s="1414"/>
      <c r="B74" s="1414"/>
      <c r="C74" s="882"/>
      <c r="D74" s="882"/>
      <c r="E74" s="882"/>
      <c r="F74" s="883"/>
      <c r="G74" s="882"/>
      <c r="H74" s="1415"/>
      <c r="I74" s="1415"/>
      <c r="J74" s="1415"/>
      <c r="K74" s="1415"/>
      <c r="L74" s="1415"/>
      <c r="M74" s="1415"/>
    </row>
    <row r="75" spans="1:19" ht="16.5" customHeight="1">
      <c r="A75" s="851"/>
      <c r="B75" s="852"/>
      <c r="C75" s="852"/>
      <c r="D75" s="852"/>
      <c r="E75" s="852"/>
      <c r="F75" s="853"/>
      <c r="G75" s="852"/>
      <c r="H75" s="854"/>
      <c r="I75" s="853"/>
      <c r="J75" s="852"/>
      <c r="K75" s="852"/>
      <c r="L75" s="853"/>
      <c r="M75" s="854" t="s">
        <v>918</v>
      </c>
    </row>
    <row r="76" spans="1:19" ht="16.5" hidden="1" customHeight="1">
      <c r="A76" s="855"/>
    </row>
    <row r="77" spans="1:19" ht="16.5" customHeight="1">
      <c r="A77" s="1416" t="s">
        <v>919</v>
      </c>
      <c r="B77" s="1416"/>
      <c r="C77" s="856" t="s">
        <v>920</v>
      </c>
      <c r="D77" s="1417" t="s">
        <v>921</v>
      </c>
      <c r="E77" s="1418"/>
      <c r="F77" s="1418"/>
      <c r="G77" s="1418"/>
      <c r="H77" s="1418"/>
      <c r="I77" s="1418"/>
      <c r="J77" s="1418"/>
      <c r="K77" s="1418"/>
      <c r="L77" s="1418"/>
      <c r="M77" s="1419"/>
    </row>
    <row r="78" spans="1:19" ht="16.5" customHeight="1">
      <c r="A78" s="1422" t="s">
        <v>968</v>
      </c>
      <c r="B78" s="1422"/>
      <c r="C78" s="885">
        <f>엔지니어노임!H10</f>
        <v>246709</v>
      </c>
      <c r="D78" s="886"/>
      <c r="E78" s="887"/>
      <c r="F78" s="888"/>
      <c r="G78" s="887"/>
      <c r="H78" s="889"/>
      <c r="I78" s="888"/>
      <c r="J78" s="887"/>
      <c r="K78" s="887"/>
      <c r="L78" s="888"/>
      <c r="M78" s="890"/>
    </row>
    <row r="79" spans="1:19" ht="16.5" customHeight="1">
      <c r="A79" s="1409" t="s">
        <v>923</v>
      </c>
      <c r="B79" s="1410"/>
      <c r="C79" s="885">
        <f>TRUNC((C80+C82+C84)/209,0)</f>
        <v>19509</v>
      </c>
      <c r="D79" s="886"/>
      <c r="E79" s="893" t="s">
        <v>959</v>
      </c>
      <c r="F79" s="888"/>
      <c r="G79" s="887"/>
      <c r="H79" s="889"/>
      <c r="I79" s="888"/>
      <c r="J79" s="887"/>
      <c r="K79" s="887"/>
      <c r="L79" s="888"/>
      <c r="M79" s="890"/>
    </row>
    <row r="80" spans="1:19" ht="16.5" customHeight="1">
      <c r="A80" s="1411" t="s">
        <v>928</v>
      </c>
      <c r="B80" s="1412"/>
      <c r="C80" s="885">
        <f>TRUNC(E80*H80,0)</f>
        <v>2641455</v>
      </c>
      <c r="D80" s="886"/>
      <c r="E80" s="887">
        <v>128226</v>
      </c>
      <c r="F80" s="888" t="s">
        <v>929</v>
      </c>
      <c r="G80" s="894" t="s">
        <v>930</v>
      </c>
      <c r="H80" s="895">
        <v>20.6</v>
      </c>
      <c r="I80" s="888" t="s">
        <v>931</v>
      </c>
      <c r="J80" s="887"/>
      <c r="K80" s="887"/>
      <c r="L80" s="888"/>
      <c r="M80" s="890"/>
    </row>
    <row r="81" spans="1:23" ht="16.5" customHeight="1">
      <c r="A81" s="1411" t="s">
        <v>933</v>
      </c>
      <c r="B81" s="1412"/>
      <c r="C81" s="885">
        <f>TRUNC(C82+C83,0)</f>
        <v>750736</v>
      </c>
      <c r="D81" s="886"/>
      <c r="E81" s="887"/>
      <c r="F81" s="888"/>
      <c r="G81" s="887"/>
      <c r="H81" s="889"/>
      <c r="I81" s="888"/>
      <c r="J81" s="887"/>
      <c r="K81" s="887"/>
      <c r="L81" s="888"/>
      <c r="M81" s="890"/>
    </row>
    <row r="82" spans="1:23" ht="16.5" customHeight="1">
      <c r="A82" s="1409" t="s">
        <v>934</v>
      </c>
      <c r="B82" s="1410"/>
      <c r="C82" s="885">
        <f>TRUNC(E82*H82/K82,0)</f>
        <v>555646</v>
      </c>
      <c r="D82" s="886"/>
      <c r="E82" s="887">
        <f>E80</f>
        <v>128226</v>
      </c>
      <c r="F82" s="888" t="s">
        <v>929</v>
      </c>
      <c r="G82" s="894" t="s">
        <v>930</v>
      </c>
      <c r="H82" s="889">
        <v>52</v>
      </c>
      <c r="I82" s="888" t="s">
        <v>931</v>
      </c>
      <c r="J82" s="896" t="s">
        <v>935</v>
      </c>
      <c r="K82" s="887">
        <v>12</v>
      </c>
      <c r="L82" s="888" t="s">
        <v>936</v>
      </c>
      <c r="M82" s="890"/>
    </row>
    <row r="83" spans="1:23" ht="16.5" customHeight="1">
      <c r="A83" s="1409" t="s">
        <v>939</v>
      </c>
      <c r="B83" s="1410"/>
      <c r="C83" s="885">
        <f>TRUNC(E83*H83/K83,0)</f>
        <v>195090</v>
      </c>
      <c r="D83" s="886"/>
      <c r="E83" s="887">
        <f>C79*8</f>
        <v>156072</v>
      </c>
      <c r="F83" s="888" t="s">
        <v>929</v>
      </c>
      <c r="G83" s="894" t="s">
        <v>930</v>
      </c>
      <c r="H83" s="889">
        <v>15</v>
      </c>
      <c r="I83" s="846" t="s">
        <v>931</v>
      </c>
      <c r="J83" s="896" t="s">
        <v>935</v>
      </c>
      <c r="K83" s="887">
        <v>12</v>
      </c>
      <c r="L83" s="888" t="s">
        <v>936</v>
      </c>
      <c r="M83" s="890"/>
    </row>
    <row r="84" spans="1:23" ht="16.5" customHeight="1">
      <c r="A84" s="1411" t="s">
        <v>941</v>
      </c>
      <c r="B84" s="1412"/>
      <c r="C84" s="885">
        <f>TRUNC(E84*H84%/K84,0)</f>
        <v>880485</v>
      </c>
      <c r="D84" s="886"/>
      <c r="E84" s="887">
        <f>C80</f>
        <v>2641455</v>
      </c>
      <c r="F84" s="888" t="s">
        <v>929</v>
      </c>
      <c r="G84" s="894" t="s">
        <v>930</v>
      </c>
      <c r="H84" s="889">
        <v>400</v>
      </c>
      <c r="I84" s="888" t="s">
        <v>942</v>
      </c>
      <c r="J84" s="896" t="s">
        <v>935</v>
      </c>
      <c r="K84" s="887">
        <v>12</v>
      </c>
      <c r="L84" s="888" t="s">
        <v>936</v>
      </c>
      <c r="M84" s="890"/>
    </row>
    <row r="85" spans="1:23" ht="16.5" customHeight="1">
      <c r="A85" s="1411" t="s">
        <v>943</v>
      </c>
      <c r="B85" s="1412"/>
      <c r="C85" s="885">
        <f>TRUNC((C80+C81+C84)/12,0)</f>
        <v>356056</v>
      </c>
      <c r="D85" s="886"/>
      <c r="E85" s="1413" t="s">
        <v>960</v>
      </c>
      <c r="F85" s="1413"/>
      <c r="G85" s="1413"/>
      <c r="H85" s="1413"/>
      <c r="I85" s="1413"/>
      <c r="J85" s="1413"/>
      <c r="K85" s="1413"/>
      <c r="L85" s="1413"/>
      <c r="M85" s="890"/>
    </row>
    <row r="86" spans="1:23" ht="16.5" customHeight="1">
      <c r="A86" s="1409" t="s">
        <v>945</v>
      </c>
      <c r="B86" s="1410"/>
      <c r="C86" s="885">
        <f>+C80+C81+C84+C85</f>
        <v>4628732</v>
      </c>
      <c r="D86" s="886"/>
      <c r="E86" s="887"/>
      <c r="F86" s="888"/>
      <c r="G86" s="887"/>
      <c r="H86" s="889"/>
      <c r="I86" s="888"/>
      <c r="J86" s="887"/>
      <c r="K86" s="887"/>
      <c r="L86" s="888"/>
      <c r="M86" s="890"/>
      <c r="N86" s="897" t="s">
        <v>961</v>
      </c>
      <c r="O86" s="881">
        <f>C86</f>
        <v>4628732</v>
      </c>
      <c r="P86" s="898" t="s">
        <v>962</v>
      </c>
      <c r="Q86" s="897">
        <f>C85</f>
        <v>356056</v>
      </c>
      <c r="R86" s="898" t="s">
        <v>963</v>
      </c>
      <c r="S86" s="897">
        <f>O86-Q86</f>
        <v>4272676</v>
      </c>
      <c r="T86" s="848" t="s">
        <v>964</v>
      </c>
      <c r="U86" s="848" t="s">
        <v>965</v>
      </c>
      <c r="V86" s="898" t="s">
        <v>963</v>
      </c>
      <c r="W86" s="897">
        <f>S86*12</f>
        <v>51272112</v>
      </c>
    </row>
    <row r="87" spans="1:23" ht="16.5" customHeight="1">
      <c r="A87" s="1409" t="s">
        <v>946</v>
      </c>
      <c r="B87" s="1410"/>
      <c r="C87" s="885">
        <f>TRUNC(E87*H87%,0)</f>
        <v>192270</v>
      </c>
      <c r="D87" s="886"/>
      <c r="E87" s="887">
        <f>+C86-C85</f>
        <v>4272676</v>
      </c>
      <c r="F87" s="888" t="s">
        <v>929</v>
      </c>
      <c r="G87" s="894" t="s">
        <v>930</v>
      </c>
      <c r="H87" s="875">
        <f>보험료산정기준!$I$8</f>
        <v>4.5</v>
      </c>
      <c r="I87" s="888" t="s">
        <v>942</v>
      </c>
      <c r="J87" s="887"/>
      <c r="K87" s="887"/>
      <c r="L87" s="888"/>
      <c r="M87" s="890"/>
      <c r="N87" s="897">
        <f>C86*12</f>
        <v>55544784</v>
      </c>
    </row>
    <row r="88" spans="1:23" ht="16.5" customHeight="1">
      <c r="A88" s="1409" t="s">
        <v>947</v>
      </c>
      <c r="B88" s="1410"/>
      <c r="C88" s="885">
        <f t="shared" ref="C88:C93" si="3">TRUNC(E88*H88%,0)</f>
        <v>151466</v>
      </c>
      <c r="D88" s="886"/>
      <c r="E88" s="887">
        <f>E87</f>
        <v>4272676</v>
      </c>
      <c r="F88" s="888" t="s">
        <v>929</v>
      </c>
      <c r="G88" s="894" t="s">
        <v>930</v>
      </c>
      <c r="H88" s="878">
        <f>보험료산정기준!$I$10</f>
        <v>3.5449999999999999</v>
      </c>
      <c r="I88" s="888" t="s">
        <v>942</v>
      </c>
      <c r="J88" s="887"/>
      <c r="K88" s="887"/>
      <c r="L88" s="888"/>
      <c r="M88" s="890"/>
    </row>
    <row r="89" spans="1:23" ht="16.5" customHeight="1">
      <c r="A89" s="1409" t="s">
        <v>948</v>
      </c>
      <c r="B89" s="1410"/>
      <c r="C89" s="885">
        <f t="shared" si="3"/>
        <v>38454</v>
      </c>
      <c r="D89" s="886"/>
      <c r="E89" s="887">
        <f>E87</f>
        <v>4272676</v>
      </c>
      <c r="F89" s="888" t="s">
        <v>929</v>
      </c>
      <c r="G89" s="894" t="s">
        <v>930</v>
      </c>
      <c r="H89" s="875">
        <f>보험료산정기준!$I$7</f>
        <v>0.9</v>
      </c>
      <c r="I89" s="888" t="s">
        <v>942</v>
      </c>
      <c r="J89" s="887"/>
      <c r="K89" s="887"/>
      <c r="L89" s="888"/>
      <c r="M89" s="890"/>
    </row>
    <row r="90" spans="1:23" ht="16.5" customHeight="1">
      <c r="A90" s="1409" t="s">
        <v>949</v>
      </c>
      <c r="B90" s="1410"/>
      <c r="C90" s="885">
        <f t="shared" si="3"/>
        <v>49135</v>
      </c>
      <c r="D90" s="886"/>
      <c r="E90" s="887">
        <f>E87</f>
        <v>4272676</v>
      </c>
      <c r="F90" s="888" t="s">
        <v>929</v>
      </c>
      <c r="G90" s="894" t="s">
        <v>930</v>
      </c>
      <c r="H90" s="875">
        <f>보험료산정기준!$I$9</f>
        <v>1.1499999999999999</v>
      </c>
      <c r="I90" s="888" t="s">
        <v>942</v>
      </c>
      <c r="J90" s="887"/>
      <c r="K90" s="887"/>
      <c r="L90" s="888"/>
      <c r="M90" s="890"/>
    </row>
    <row r="91" spans="1:23" ht="16.5" customHeight="1">
      <c r="A91" s="1409" t="s">
        <v>951</v>
      </c>
      <c r="B91" s="1410"/>
      <c r="C91" s="885">
        <f t="shared" si="3"/>
        <v>19402</v>
      </c>
      <c r="D91" s="886"/>
      <c r="E91" s="887">
        <f>C88</f>
        <v>151466</v>
      </c>
      <c r="F91" s="888" t="s">
        <v>929</v>
      </c>
      <c r="G91" s="894" t="s">
        <v>930</v>
      </c>
      <c r="H91" s="875">
        <f>보험료산정기준!$I$11</f>
        <v>12.81</v>
      </c>
      <c r="I91" s="888" t="s">
        <v>942</v>
      </c>
      <c r="J91" s="887"/>
      <c r="K91" s="887"/>
      <c r="L91" s="888"/>
      <c r="M91" s="890"/>
      <c r="N91" s="899" t="s">
        <v>966</v>
      </c>
      <c r="O91" s="900">
        <f>E91</f>
        <v>151466</v>
      </c>
      <c r="P91" s="848" t="s">
        <v>964</v>
      </c>
      <c r="Q91" s="848" t="s">
        <v>965</v>
      </c>
      <c r="R91" s="898" t="s">
        <v>963</v>
      </c>
      <c r="S91" s="897">
        <f>O91*12</f>
        <v>1817592</v>
      </c>
    </row>
    <row r="92" spans="1:23" ht="16.5" customHeight="1">
      <c r="A92" s="1409" t="s">
        <v>952</v>
      </c>
      <c r="B92" s="1410"/>
      <c r="C92" s="885">
        <f t="shared" si="3"/>
        <v>2563</v>
      </c>
      <c r="D92" s="886"/>
      <c r="E92" s="887">
        <f>E87</f>
        <v>4272676</v>
      </c>
      <c r="F92" s="888" t="s">
        <v>929</v>
      </c>
      <c r="G92" s="894" t="s">
        <v>930</v>
      </c>
      <c r="H92" s="875">
        <f>보험료산정기준!$I$12</f>
        <v>0.06</v>
      </c>
      <c r="I92" s="888" t="s">
        <v>942</v>
      </c>
      <c r="J92" s="887"/>
      <c r="K92" s="887"/>
      <c r="L92" s="888"/>
      <c r="M92" s="890"/>
    </row>
    <row r="93" spans="1:23" ht="16.5" customHeight="1">
      <c r="A93" s="1409" t="s">
        <v>953</v>
      </c>
      <c r="B93" s="1410"/>
      <c r="C93" s="885">
        <f t="shared" si="3"/>
        <v>170</v>
      </c>
      <c r="D93" s="886"/>
      <c r="E93" s="887">
        <f>E87</f>
        <v>4272676</v>
      </c>
      <c r="F93" s="888" t="s">
        <v>929</v>
      </c>
      <c r="G93" s="894" t="s">
        <v>930</v>
      </c>
      <c r="H93" s="878">
        <f>보험료산정기준!$I$13</f>
        <v>4.0000000000000001E-3</v>
      </c>
      <c r="I93" s="888" t="s">
        <v>942</v>
      </c>
      <c r="J93" s="887"/>
      <c r="K93" s="887"/>
      <c r="L93" s="888"/>
      <c r="M93" s="890"/>
    </row>
    <row r="94" spans="1:23" ht="16.5" customHeight="1">
      <c r="A94" s="1409" t="s">
        <v>954</v>
      </c>
      <c r="B94" s="1410"/>
      <c r="C94" s="885">
        <f>+C87+C88+C89+C90+C91+C92+C93</f>
        <v>453460</v>
      </c>
      <c r="D94" s="886"/>
      <c r="E94" s="887"/>
      <c r="F94" s="888"/>
      <c r="G94" s="887"/>
      <c r="H94" s="889"/>
      <c r="I94" s="888"/>
      <c r="J94" s="887"/>
      <c r="K94" s="887"/>
      <c r="L94" s="888"/>
      <c r="M94" s="890"/>
    </row>
    <row r="95" spans="1:23" ht="16.5" customHeight="1">
      <c r="A95" s="1409" t="s">
        <v>955</v>
      </c>
      <c r="B95" s="1410"/>
      <c r="C95" s="885">
        <f>+C86+C94</f>
        <v>5082192</v>
      </c>
      <c r="D95" s="886"/>
      <c r="E95" s="887"/>
      <c r="F95" s="888"/>
      <c r="G95" s="887"/>
      <c r="H95" s="889"/>
      <c r="I95" s="888"/>
      <c r="J95" s="887"/>
      <c r="K95" s="887"/>
      <c r="L95" s="888"/>
      <c r="M95" s="890"/>
      <c r="N95" s="880">
        <f>C96*H80</f>
        <v>5082205.4000000004</v>
      </c>
      <c r="O95" s="881">
        <f>C95-N95</f>
        <v>-13.400000000372529</v>
      </c>
    </row>
    <row r="96" spans="1:23" ht="16.5" customHeight="1">
      <c r="A96" s="1409" t="s">
        <v>956</v>
      </c>
      <c r="B96" s="1410"/>
      <c r="C96" s="885">
        <f>C78</f>
        <v>246709</v>
      </c>
      <c r="D96" s="886"/>
      <c r="E96" s="893"/>
      <c r="F96" s="888"/>
      <c r="G96" s="887"/>
      <c r="H96" s="889"/>
      <c r="I96" s="888"/>
      <c r="J96" s="887"/>
      <c r="K96" s="887"/>
      <c r="L96" s="888"/>
      <c r="M96" s="890"/>
    </row>
    <row r="97" spans="1:23" ht="16.5" customHeight="1">
      <c r="A97" s="852"/>
      <c r="B97" s="852"/>
      <c r="C97" s="882"/>
      <c r="D97" s="882"/>
      <c r="E97" s="903"/>
      <c r="F97" s="883"/>
      <c r="G97" s="882"/>
      <c r="H97" s="884"/>
      <c r="I97" s="883"/>
      <c r="J97" s="882"/>
      <c r="K97" s="882"/>
      <c r="L97" s="883"/>
      <c r="M97" s="882"/>
    </row>
    <row r="98" spans="1:23" ht="16.5" hidden="1" customHeight="1">
      <c r="A98" s="1414"/>
      <c r="B98" s="1414"/>
      <c r="C98" s="882"/>
      <c r="D98" s="882"/>
      <c r="E98" s="882"/>
      <c r="F98" s="883"/>
      <c r="G98" s="882"/>
      <c r="H98" s="1415"/>
      <c r="I98" s="1415"/>
      <c r="J98" s="1415"/>
      <c r="K98" s="1415"/>
      <c r="L98" s="1415"/>
      <c r="M98" s="1415"/>
    </row>
    <row r="99" spans="1:23" ht="16.5" hidden="1" customHeight="1">
      <c r="A99" s="852"/>
      <c r="B99" s="852"/>
      <c r="C99" s="882"/>
      <c r="D99" s="882"/>
      <c r="E99" s="882"/>
      <c r="F99" s="883"/>
      <c r="G99" s="882"/>
      <c r="H99" s="902"/>
      <c r="I99" s="902"/>
      <c r="J99" s="902"/>
      <c r="K99" s="902"/>
      <c r="L99" s="902"/>
      <c r="M99" s="902"/>
    </row>
    <row r="100" spans="1:23" ht="16.5" customHeight="1">
      <c r="A100" s="852"/>
      <c r="B100" s="852"/>
      <c r="C100" s="882"/>
      <c r="D100" s="882"/>
      <c r="E100" s="882"/>
      <c r="F100" s="883"/>
      <c r="G100" s="882"/>
      <c r="H100" s="902"/>
      <c r="I100" s="902"/>
      <c r="J100" s="902"/>
      <c r="K100" s="902"/>
      <c r="L100" s="902"/>
      <c r="M100" s="902"/>
    </row>
    <row r="101" spans="1:23" ht="16.5" customHeight="1">
      <c r="A101" s="851"/>
      <c r="B101" s="852"/>
      <c r="C101" s="852"/>
      <c r="D101" s="852"/>
      <c r="E101" s="852"/>
      <c r="F101" s="853"/>
      <c r="G101" s="852"/>
      <c r="H101" s="854"/>
      <c r="I101" s="853"/>
      <c r="J101" s="852"/>
      <c r="K101" s="852"/>
      <c r="L101" s="853"/>
      <c r="M101" s="854" t="s">
        <v>918</v>
      </c>
    </row>
    <row r="102" spans="1:23" ht="16.5" hidden="1" customHeight="1">
      <c r="A102" s="855"/>
    </row>
    <row r="103" spans="1:23" ht="16.5" customHeight="1">
      <c r="A103" s="1416" t="s">
        <v>919</v>
      </c>
      <c r="B103" s="1416"/>
      <c r="C103" s="856" t="s">
        <v>920</v>
      </c>
      <c r="D103" s="1417" t="s">
        <v>921</v>
      </c>
      <c r="E103" s="1418"/>
      <c r="F103" s="1418"/>
      <c r="G103" s="1418"/>
      <c r="H103" s="1418"/>
      <c r="I103" s="1418"/>
      <c r="J103" s="1418"/>
      <c r="K103" s="1418"/>
      <c r="L103" s="1418"/>
      <c r="M103" s="1419"/>
    </row>
    <row r="104" spans="1:23" ht="16.5" customHeight="1">
      <c r="A104" s="1422" t="s">
        <v>969</v>
      </c>
      <c r="B104" s="1422"/>
      <c r="C104" s="885">
        <f>엔지니어노임!H11</f>
        <v>217342</v>
      </c>
      <c r="D104" s="886"/>
      <c r="E104" s="887"/>
      <c r="F104" s="888"/>
      <c r="G104" s="887"/>
      <c r="H104" s="889"/>
      <c r="I104" s="888"/>
      <c r="J104" s="887"/>
      <c r="K104" s="887"/>
      <c r="L104" s="888"/>
      <c r="M104" s="890"/>
    </row>
    <row r="105" spans="1:23" ht="16.5" customHeight="1">
      <c r="A105" s="1409" t="s">
        <v>923</v>
      </c>
      <c r="B105" s="1410"/>
      <c r="C105" s="885">
        <f>TRUNC((C106+C108+C110)/209,0)</f>
        <v>17187</v>
      </c>
      <c r="D105" s="886"/>
      <c r="E105" s="893" t="s">
        <v>959</v>
      </c>
      <c r="F105" s="888"/>
      <c r="G105" s="887"/>
      <c r="H105" s="889"/>
      <c r="I105" s="888"/>
      <c r="J105" s="887"/>
      <c r="K105" s="887"/>
      <c r="L105" s="888"/>
      <c r="M105" s="890"/>
    </row>
    <row r="106" spans="1:23" ht="16.5" customHeight="1">
      <c r="A106" s="1411" t="s">
        <v>928</v>
      </c>
      <c r="B106" s="1412"/>
      <c r="C106" s="885">
        <f>TRUNC(E106*H106,0)</f>
        <v>2327017</v>
      </c>
      <c r="D106" s="886"/>
      <c r="E106" s="887">
        <v>112962</v>
      </c>
      <c r="F106" s="888" t="s">
        <v>929</v>
      </c>
      <c r="G106" s="894" t="s">
        <v>930</v>
      </c>
      <c r="H106" s="895">
        <v>20.6</v>
      </c>
      <c r="I106" s="888" t="s">
        <v>931</v>
      </c>
      <c r="J106" s="887"/>
      <c r="K106" s="887"/>
      <c r="L106" s="888"/>
      <c r="M106" s="890"/>
    </row>
    <row r="107" spans="1:23" ht="16.5" customHeight="1">
      <c r="A107" s="1411" t="s">
        <v>933</v>
      </c>
      <c r="B107" s="1412"/>
      <c r="C107" s="885">
        <f>TRUNC(C108+C109,0)</f>
        <v>661372</v>
      </c>
      <c r="D107" s="886"/>
      <c r="E107" s="887"/>
      <c r="F107" s="888"/>
      <c r="G107" s="887"/>
      <c r="H107" s="889"/>
      <c r="I107" s="888"/>
      <c r="J107" s="887"/>
      <c r="K107" s="887"/>
      <c r="L107" s="888"/>
      <c r="M107" s="890"/>
    </row>
    <row r="108" spans="1:23" ht="16.5" customHeight="1">
      <c r="A108" s="1409" t="s">
        <v>934</v>
      </c>
      <c r="B108" s="1410"/>
      <c r="C108" s="885">
        <f>TRUNC(E108*H108/K108,0)</f>
        <v>489502</v>
      </c>
      <c r="D108" s="886"/>
      <c r="E108" s="887">
        <f>E106</f>
        <v>112962</v>
      </c>
      <c r="F108" s="888" t="s">
        <v>929</v>
      </c>
      <c r="G108" s="894" t="s">
        <v>930</v>
      </c>
      <c r="H108" s="889">
        <v>52</v>
      </c>
      <c r="I108" s="888" t="s">
        <v>931</v>
      </c>
      <c r="J108" s="896" t="s">
        <v>935</v>
      </c>
      <c r="K108" s="887">
        <v>12</v>
      </c>
      <c r="L108" s="888" t="s">
        <v>936</v>
      </c>
      <c r="M108" s="890"/>
    </row>
    <row r="109" spans="1:23" ht="16.5" customHeight="1">
      <c r="A109" s="1409" t="s">
        <v>939</v>
      </c>
      <c r="B109" s="1410"/>
      <c r="C109" s="885">
        <f>TRUNC(E109*H109/K109,0)</f>
        <v>171870</v>
      </c>
      <c r="D109" s="886"/>
      <c r="E109" s="887">
        <f>C105*8</f>
        <v>137496</v>
      </c>
      <c r="F109" s="888" t="s">
        <v>929</v>
      </c>
      <c r="G109" s="894" t="s">
        <v>930</v>
      </c>
      <c r="H109" s="889">
        <v>15</v>
      </c>
      <c r="I109" s="846" t="s">
        <v>931</v>
      </c>
      <c r="J109" s="896" t="s">
        <v>935</v>
      </c>
      <c r="K109" s="887">
        <v>12</v>
      </c>
      <c r="L109" s="888" t="s">
        <v>936</v>
      </c>
      <c r="M109" s="890"/>
    </row>
    <row r="110" spans="1:23" ht="16.5" customHeight="1">
      <c r="A110" s="1411" t="s">
        <v>941</v>
      </c>
      <c r="B110" s="1412"/>
      <c r="C110" s="885">
        <f>TRUNC(E110*H110%/K110,0)</f>
        <v>775672</v>
      </c>
      <c r="D110" s="886"/>
      <c r="E110" s="887">
        <f>C106</f>
        <v>2327017</v>
      </c>
      <c r="F110" s="888" t="s">
        <v>929</v>
      </c>
      <c r="G110" s="894" t="s">
        <v>930</v>
      </c>
      <c r="H110" s="889">
        <v>400</v>
      </c>
      <c r="I110" s="888" t="s">
        <v>942</v>
      </c>
      <c r="J110" s="896" t="s">
        <v>935</v>
      </c>
      <c r="K110" s="887">
        <v>12</v>
      </c>
      <c r="L110" s="888" t="s">
        <v>936</v>
      </c>
      <c r="M110" s="890"/>
    </row>
    <row r="111" spans="1:23" ht="16.5" customHeight="1">
      <c r="A111" s="1411" t="s">
        <v>943</v>
      </c>
      <c r="B111" s="1412"/>
      <c r="C111" s="885">
        <f>TRUNC((C106+C107+C110)/12,0)</f>
        <v>313671</v>
      </c>
      <c r="D111" s="886"/>
      <c r="E111" s="1413" t="s">
        <v>960</v>
      </c>
      <c r="F111" s="1413"/>
      <c r="G111" s="1413"/>
      <c r="H111" s="1413"/>
      <c r="I111" s="1413"/>
      <c r="J111" s="1413"/>
      <c r="K111" s="1413"/>
      <c r="L111" s="1413"/>
      <c r="M111" s="890"/>
    </row>
    <row r="112" spans="1:23" ht="16.5" customHeight="1">
      <c r="A112" s="1409" t="s">
        <v>945</v>
      </c>
      <c r="B112" s="1410"/>
      <c r="C112" s="885">
        <f>+C106+C107+C110+C111</f>
        <v>4077732</v>
      </c>
      <c r="D112" s="886"/>
      <c r="E112" s="887"/>
      <c r="F112" s="888"/>
      <c r="G112" s="887"/>
      <c r="H112" s="889"/>
      <c r="I112" s="888"/>
      <c r="J112" s="887"/>
      <c r="K112" s="887"/>
      <c r="L112" s="888"/>
      <c r="M112" s="890"/>
      <c r="N112" s="897" t="s">
        <v>961</v>
      </c>
      <c r="O112" s="881">
        <f>C112</f>
        <v>4077732</v>
      </c>
      <c r="P112" s="898" t="s">
        <v>962</v>
      </c>
      <c r="Q112" s="897">
        <f>C111</f>
        <v>313671</v>
      </c>
      <c r="R112" s="898" t="s">
        <v>963</v>
      </c>
      <c r="S112" s="897">
        <f>O112-Q112</f>
        <v>3764061</v>
      </c>
      <c r="T112" s="848" t="s">
        <v>964</v>
      </c>
      <c r="U112" s="848" t="s">
        <v>965</v>
      </c>
      <c r="V112" s="898" t="s">
        <v>963</v>
      </c>
      <c r="W112" s="897">
        <f>S112*12</f>
        <v>45168732</v>
      </c>
    </row>
    <row r="113" spans="1:19" ht="16.5" customHeight="1">
      <c r="A113" s="1409" t="s">
        <v>946</v>
      </c>
      <c r="B113" s="1410"/>
      <c r="C113" s="885">
        <f>TRUNC(E113*H113%,0)</f>
        <v>169382</v>
      </c>
      <c r="D113" s="886"/>
      <c r="E113" s="887">
        <f>+C112-C111</f>
        <v>3764061</v>
      </c>
      <c r="F113" s="888" t="s">
        <v>929</v>
      </c>
      <c r="G113" s="894" t="s">
        <v>930</v>
      </c>
      <c r="H113" s="875">
        <f>보험료산정기준!$I$8</f>
        <v>4.5</v>
      </c>
      <c r="I113" s="888" t="s">
        <v>942</v>
      </c>
      <c r="J113" s="887"/>
      <c r="K113" s="887"/>
      <c r="L113" s="888"/>
      <c r="M113" s="890"/>
      <c r="N113" s="897">
        <f>C112*12</f>
        <v>48932784</v>
      </c>
    </row>
    <row r="114" spans="1:19" ht="16.5" customHeight="1">
      <c r="A114" s="1409" t="s">
        <v>947</v>
      </c>
      <c r="B114" s="1410"/>
      <c r="C114" s="885">
        <f t="shared" ref="C114:C119" si="4">TRUNC(E114*H114%,0)</f>
        <v>133435</v>
      </c>
      <c r="D114" s="886"/>
      <c r="E114" s="887">
        <f>E113</f>
        <v>3764061</v>
      </c>
      <c r="F114" s="888" t="s">
        <v>929</v>
      </c>
      <c r="G114" s="894" t="s">
        <v>930</v>
      </c>
      <c r="H114" s="878">
        <f>보험료산정기준!$I$10</f>
        <v>3.5449999999999999</v>
      </c>
      <c r="I114" s="888" t="s">
        <v>942</v>
      </c>
      <c r="J114" s="887"/>
      <c r="K114" s="887"/>
      <c r="L114" s="888"/>
      <c r="M114" s="890"/>
    </row>
    <row r="115" spans="1:19" ht="16.5" customHeight="1">
      <c r="A115" s="1409" t="s">
        <v>948</v>
      </c>
      <c r="B115" s="1410"/>
      <c r="C115" s="885">
        <f t="shared" si="4"/>
        <v>33876</v>
      </c>
      <c r="D115" s="886"/>
      <c r="E115" s="887">
        <f>E113</f>
        <v>3764061</v>
      </c>
      <c r="F115" s="888" t="s">
        <v>929</v>
      </c>
      <c r="G115" s="894" t="s">
        <v>930</v>
      </c>
      <c r="H115" s="875">
        <f>보험료산정기준!$I$7</f>
        <v>0.9</v>
      </c>
      <c r="I115" s="888" t="s">
        <v>942</v>
      </c>
      <c r="J115" s="887"/>
      <c r="K115" s="887"/>
      <c r="L115" s="888"/>
      <c r="M115" s="890"/>
    </row>
    <row r="116" spans="1:19" ht="16.5" customHeight="1">
      <c r="A116" s="1409" t="s">
        <v>949</v>
      </c>
      <c r="B116" s="1410"/>
      <c r="C116" s="885">
        <f t="shared" si="4"/>
        <v>43286</v>
      </c>
      <c r="D116" s="886"/>
      <c r="E116" s="887">
        <f>E113</f>
        <v>3764061</v>
      </c>
      <c r="F116" s="888" t="s">
        <v>929</v>
      </c>
      <c r="G116" s="894" t="s">
        <v>930</v>
      </c>
      <c r="H116" s="875">
        <f>보험료산정기준!$I$9</f>
        <v>1.1499999999999999</v>
      </c>
      <c r="I116" s="888" t="s">
        <v>942</v>
      </c>
      <c r="J116" s="887"/>
      <c r="K116" s="887"/>
      <c r="L116" s="888"/>
      <c r="M116" s="890"/>
    </row>
    <row r="117" spans="1:19" ht="16.5" customHeight="1">
      <c r="A117" s="1409" t="s">
        <v>951</v>
      </c>
      <c r="B117" s="1410"/>
      <c r="C117" s="885">
        <f t="shared" si="4"/>
        <v>17093</v>
      </c>
      <c r="D117" s="886"/>
      <c r="E117" s="887">
        <f>C114</f>
        <v>133435</v>
      </c>
      <c r="F117" s="888" t="s">
        <v>929</v>
      </c>
      <c r="G117" s="894" t="s">
        <v>930</v>
      </c>
      <c r="H117" s="875">
        <f>보험료산정기준!$I$11</f>
        <v>12.81</v>
      </c>
      <c r="I117" s="888" t="s">
        <v>942</v>
      </c>
      <c r="J117" s="887"/>
      <c r="K117" s="887"/>
      <c r="L117" s="888"/>
      <c r="M117" s="890"/>
      <c r="N117" s="899" t="s">
        <v>966</v>
      </c>
      <c r="O117" s="900">
        <f>E117</f>
        <v>133435</v>
      </c>
      <c r="P117" s="848" t="s">
        <v>964</v>
      </c>
      <c r="Q117" s="848" t="s">
        <v>965</v>
      </c>
      <c r="R117" s="898" t="s">
        <v>963</v>
      </c>
      <c r="S117" s="897">
        <f>O117*12</f>
        <v>1601220</v>
      </c>
    </row>
    <row r="118" spans="1:19" ht="16.5" customHeight="1">
      <c r="A118" s="1409" t="s">
        <v>952</v>
      </c>
      <c r="B118" s="1410"/>
      <c r="C118" s="885">
        <f t="shared" si="4"/>
        <v>2258</v>
      </c>
      <c r="D118" s="886"/>
      <c r="E118" s="887">
        <f>E113</f>
        <v>3764061</v>
      </c>
      <c r="F118" s="888" t="s">
        <v>929</v>
      </c>
      <c r="G118" s="894" t="s">
        <v>930</v>
      </c>
      <c r="H118" s="875">
        <f>보험료산정기준!$I$12</f>
        <v>0.06</v>
      </c>
      <c r="I118" s="888" t="s">
        <v>942</v>
      </c>
      <c r="J118" s="887"/>
      <c r="K118" s="887"/>
      <c r="L118" s="888"/>
      <c r="M118" s="890"/>
    </row>
    <row r="119" spans="1:19" ht="16.5" customHeight="1">
      <c r="A119" s="1409" t="s">
        <v>953</v>
      </c>
      <c r="B119" s="1410"/>
      <c r="C119" s="885">
        <f t="shared" si="4"/>
        <v>150</v>
      </c>
      <c r="D119" s="886"/>
      <c r="E119" s="887">
        <f>E113</f>
        <v>3764061</v>
      </c>
      <c r="F119" s="888" t="s">
        <v>929</v>
      </c>
      <c r="G119" s="894" t="s">
        <v>930</v>
      </c>
      <c r="H119" s="878">
        <f>보험료산정기준!$I$13</f>
        <v>4.0000000000000001E-3</v>
      </c>
      <c r="I119" s="888" t="s">
        <v>942</v>
      </c>
      <c r="J119" s="887"/>
      <c r="K119" s="887"/>
      <c r="L119" s="888"/>
      <c r="M119" s="890"/>
    </row>
    <row r="120" spans="1:19" ht="16.5" customHeight="1">
      <c r="A120" s="1409" t="s">
        <v>954</v>
      </c>
      <c r="B120" s="1410"/>
      <c r="C120" s="885">
        <f>+C113+C114+C115+C116+C117+C118+C119</f>
        <v>399480</v>
      </c>
      <c r="D120" s="886"/>
      <c r="E120" s="887"/>
      <c r="F120" s="888"/>
      <c r="G120" s="887"/>
      <c r="H120" s="889"/>
      <c r="I120" s="888"/>
      <c r="J120" s="887"/>
      <c r="K120" s="887"/>
      <c r="L120" s="888"/>
      <c r="M120" s="890"/>
    </row>
    <row r="121" spans="1:19" ht="16.5" customHeight="1">
      <c r="A121" s="1409" t="s">
        <v>955</v>
      </c>
      <c r="B121" s="1410"/>
      <c r="C121" s="885">
        <f>+C112+C120</f>
        <v>4477212</v>
      </c>
      <c r="D121" s="886"/>
      <c r="E121" s="887"/>
      <c r="F121" s="888"/>
      <c r="G121" s="887"/>
      <c r="H121" s="889"/>
      <c r="I121" s="888"/>
      <c r="J121" s="887"/>
      <c r="K121" s="887"/>
      <c r="L121" s="888"/>
      <c r="M121" s="890"/>
      <c r="N121" s="880">
        <f>C122*H106</f>
        <v>4477245.2</v>
      </c>
      <c r="O121" s="881">
        <f>C121-N121</f>
        <v>-33.200000000186265</v>
      </c>
    </row>
    <row r="122" spans="1:19" ht="16.5" customHeight="1">
      <c r="A122" s="1409" t="s">
        <v>956</v>
      </c>
      <c r="B122" s="1410"/>
      <c r="C122" s="885">
        <f>C104</f>
        <v>217342</v>
      </c>
      <c r="D122" s="886"/>
      <c r="E122" s="893"/>
      <c r="F122" s="888"/>
      <c r="G122" s="887"/>
      <c r="H122" s="889"/>
      <c r="I122" s="888"/>
      <c r="J122" s="887"/>
      <c r="K122" s="887"/>
      <c r="L122" s="888"/>
      <c r="M122" s="890"/>
    </row>
    <row r="123" spans="1:19" ht="16.5" customHeight="1">
      <c r="A123" s="1414"/>
      <c r="B123" s="1414"/>
      <c r="C123" s="882"/>
      <c r="D123" s="882"/>
      <c r="E123" s="882"/>
      <c r="F123" s="883"/>
      <c r="G123" s="882"/>
      <c r="H123" s="1415"/>
      <c r="I123" s="1415"/>
      <c r="J123" s="1415"/>
      <c r="K123" s="1415"/>
      <c r="L123" s="1415"/>
      <c r="M123" s="1415"/>
    </row>
    <row r="124" spans="1:19" ht="16.5" customHeight="1">
      <c r="A124" s="851"/>
      <c r="B124" s="852"/>
      <c r="C124" s="852"/>
      <c r="D124" s="852"/>
      <c r="E124" s="852"/>
      <c r="F124" s="853"/>
      <c r="G124" s="852"/>
      <c r="H124" s="854"/>
      <c r="I124" s="853"/>
      <c r="J124" s="852"/>
      <c r="K124" s="852"/>
      <c r="L124" s="853"/>
      <c r="M124" s="854" t="s">
        <v>918</v>
      </c>
    </row>
    <row r="125" spans="1:19" ht="16.5" hidden="1" customHeight="1">
      <c r="A125" s="855"/>
    </row>
    <row r="126" spans="1:19" ht="16.5" customHeight="1">
      <c r="A126" s="1416" t="s">
        <v>919</v>
      </c>
      <c r="B126" s="1416"/>
      <c r="C126" s="856" t="s">
        <v>920</v>
      </c>
      <c r="D126" s="1417" t="s">
        <v>921</v>
      </c>
      <c r="E126" s="1418"/>
      <c r="F126" s="1418"/>
      <c r="G126" s="1418"/>
      <c r="H126" s="1418"/>
      <c r="I126" s="1418"/>
      <c r="J126" s="1418"/>
      <c r="K126" s="1418"/>
      <c r="L126" s="1418"/>
      <c r="M126" s="1419"/>
    </row>
    <row r="127" spans="1:19" ht="16.5" customHeight="1">
      <c r="A127" s="1420" t="s">
        <v>970</v>
      </c>
      <c r="B127" s="1421"/>
      <c r="C127" s="885">
        <f>엔지니어노임!H12</f>
        <v>234982</v>
      </c>
      <c r="D127" s="886"/>
      <c r="E127" s="887"/>
      <c r="F127" s="888"/>
      <c r="G127" s="887"/>
      <c r="H127" s="889"/>
      <c r="I127" s="888"/>
      <c r="J127" s="887"/>
      <c r="K127" s="887"/>
      <c r="L127" s="888"/>
      <c r="M127" s="890"/>
      <c r="Q127" s="897"/>
    </row>
    <row r="128" spans="1:19" ht="16.5" customHeight="1">
      <c r="A128" s="1409" t="s">
        <v>923</v>
      </c>
      <c r="B128" s="1410"/>
      <c r="C128" s="885">
        <f>TRUNC((C129+C131+C133)/209,0)</f>
        <v>18582</v>
      </c>
      <c r="D128" s="886"/>
      <c r="E128" s="893" t="s">
        <v>959</v>
      </c>
      <c r="F128" s="888"/>
      <c r="G128" s="887"/>
      <c r="H128" s="889"/>
      <c r="I128" s="888"/>
      <c r="J128" s="887"/>
      <c r="K128" s="887"/>
      <c r="L128" s="888"/>
      <c r="M128" s="890"/>
    </row>
    <row r="129" spans="1:23" ht="16.5" customHeight="1">
      <c r="A129" s="1411" t="s">
        <v>928</v>
      </c>
      <c r="B129" s="1412"/>
      <c r="C129" s="885">
        <f>TRUNC(E129*H129,0)</f>
        <v>2515878</v>
      </c>
      <c r="D129" s="886"/>
      <c r="E129" s="887">
        <v>122130</v>
      </c>
      <c r="F129" s="888" t="s">
        <v>929</v>
      </c>
      <c r="G129" s="894" t="s">
        <v>930</v>
      </c>
      <c r="H129" s="895">
        <v>20.6</v>
      </c>
      <c r="I129" s="888" t="s">
        <v>931</v>
      </c>
      <c r="J129" s="887"/>
      <c r="K129" s="887"/>
      <c r="L129" s="888"/>
      <c r="M129" s="890"/>
      <c r="O129" s="881"/>
    </row>
    <row r="130" spans="1:23" ht="16.5" customHeight="1">
      <c r="A130" s="1411" t="s">
        <v>933</v>
      </c>
      <c r="B130" s="1412"/>
      <c r="C130" s="885">
        <f>TRUNC(C131+C132,0)</f>
        <v>715050</v>
      </c>
      <c r="D130" s="886"/>
      <c r="E130" s="887"/>
      <c r="F130" s="888"/>
      <c r="G130" s="887"/>
      <c r="H130" s="889"/>
      <c r="I130" s="888"/>
      <c r="J130" s="887"/>
      <c r="K130" s="887"/>
      <c r="L130" s="888"/>
      <c r="M130" s="890"/>
    </row>
    <row r="131" spans="1:23" ht="16.5" customHeight="1">
      <c r="A131" s="1409" t="s">
        <v>934</v>
      </c>
      <c r="B131" s="1410"/>
      <c r="C131" s="885">
        <f>TRUNC(E131*H131/K131,0)</f>
        <v>529230</v>
      </c>
      <c r="D131" s="886"/>
      <c r="E131" s="887">
        <f>E129</f>
        <v>122130</v>
      </c>
      <c r="F131" s="888" t="s">
        <v>929</v>
      </c>
      <c r="G131" s="894" t="s">
        <v>930</v>
      </c>
      <c r="H131" s="889">
        <v>52</v>
      </c>
      <c r="I131" s="888" t="s">
        <v>931</v>
      </c>
      <c r="J131" s="896" t="s">
        <v>935</v>
      </c>
      <c r="K131" s="887">
        <v>12</v>
      </c>
      <c r="L131" s="888" t="s">
        <v>936</v>
      </c>
      <c r="M131" s="890"/>
    </row>
    <row r="132" spans="1:23" ht="16.5" customHeight="1">
      <c r="A132" s="1409" t="s">
        <v>939</v>
      </c>
      <c r="B132" s="1410"/>
      <c r="C132" s="885">
        <f>TRUNC(E132*H132/K132,0)</f>
        <v>185820</v>
      </c>
      <c r="D132" s="886"/>
      <c r="E132" s="887">
        <f>C128*8</f>
        <v>148656</v>
      </c>
      <c r="F132" s="888" t="s">
        <v>929</v>
      </c>
      <c r="G132" s="894" t="s">
        <v>930</v>
      </c>
      <c r="H132" s="889">
        <v>15</v>
      </c>
      <c r="I132" s="846" t="s">
        <v>931</v>
      </c>
      <c r="J132" s="896" t="s">
        <v>935</v>
      </c>
      <c r="K132" s="887">
        <v>12</v>
      </c>
      <c r="L132" s="888" t="s">
        <v>936</v>
      </c>
      <c r="M132" s="890"/>
    </row>
    <row r="133" spans="1:23" ht="16.5" customHeight="1">
      <c r="A133" s="1411" t="s">
        <v>941</v>
      </c>
      <c r="B133" s="1412"/>
      <c r="C133" s="885">
        <f>TRUNC(E133*H133%/K133,0)</f>
        <v>838626</v>
      </c>
      <c r="D133" s="886"/>
      <c r="E133" s="887">
        <f>C129</f>
        <v>2515878</v>
      </c>
      <c r="F133" s="888" t="s">
        <v>929</v>
      </c>
      <c r="G133" s="894" t="s">
        <v>930</v>
      </c>
      <c r="H133" s="889">
        <v>400</v>
      </c>
      <c r="I133" s="888" t="s">
        <v>942</v>
      </c>
      <c r="J133" s="896" t="s">
        <v>935</v>
      </c>
      <c r="K133" s="887">
        <v>12</v>
      </c>
      <c r="L133" s="888" t="s">
        <v>936</v>
      </c>
      <c r="M133" s="890"/>
    </row>
    <row r="134" spans="1:23" ht="16.5" customHeight="1">
      <c r="A134" s="1411" t="s">
        <v>943</v>
      </c>
      <c r="B134" s="1412"/>
      <c r="C134" s="885">
        <f>TRUNC((C129+C130+C133)/12,0)</f>
        <v>339129</v>
      </c>
      <c r="D134" s="886"/>
      <c r="E134" s="1413" t="s">
        <v>960</v>
      </c>
      <c r="F134" s="1413"/>
      <c r="G134" s="1413"/>
      <c r="H134" s="1413"/>
      <c r="I134" s="1413"/>
      <c r="J134" s="1413"/>
      <c r="K134" s="1413"/>
      <c r="L134" s="1413"/>
      <c r="M134" s="890"/>
    </row>
    <row r="135" spans="1:23" ht="16.5" customHeight="1">
      <c r="A135" s="1409" t="s">
        <v>945</v>
      </c>
      <c r="B135" s="1410"/>
      <c r="C135" s="885">
        <f>+C129+C130+C133+C134</f>
        <v>4408683</v>
      </c>
      <c r="D135" s="886"/>
      <c r="E135" s="887"/>
      <c r="F135" s="888"/>
      <c r="G135" s="887"/>
      <c r="H135" s="889"/>
      <c r="I135" s="888"/>
      <c r="J135" s="887"/>
      <c r="K135" s="887"/>
      <c r="L135" s="888"/>
      <c r="M135" s="890"/>
      <c r="N135" s="897" t="s">
        <v>961</v>
      </c>
      <c r="O135" s="881">
        <f>C135</f>
        <v>4408683</v>
      </c>
      <c r="P135" s="898" t="s">
        <v>962</v>
      </c>
      <c r="Q135" s="897">
        <f>C134</f>
        <v>339129</v>
      </c>
      <c r="R135" s="898" t="s">
        <v>963</v>
      </c>
      <c r="S135" s="897">
        <f>O135-Q135</f>
        <v>4069554</v>
      </c>
      <c r="T135" s="848" t="s">
        <v>964</v>
      </c>
      <c r="U135" s="848" t="s">
        <v>965</v>
      </c>
      <c r="V135" s="898" t="s">
        <v>963</v>
      </c>
      <c r="W135" s="897">
        <f>S135*12</f>
        <v>48834648</v>
      </c>
    </row>
    <row r="136" spans="1:23" ht="16.5" customHeight="1">
      <c r="A136" s="1409" t="s">
        <v>946</v>
      </c>
      <c r="B136" s="1410"/>
      <c r="C136" s="885">
        <f>TRUNC(E136*H136%,0)</f>
        <v>183129</v>
      </c>
      <c r="D136" s="886"/>
      <c r="E136" s="887">
        <f>+C135-C134</f>
        <v>4069554</v>
      </c>
      <c r="F136" s="888" t="s">
        <v>929</v>
      </c>
      <c r="G136" s="894" t="s">
        <v>930</v>
      </c>
      <c r="H136" s="875">
        <f>보험료산정기준!$I$8</f>
        <v>4.5</v>
      </c>
      <c r="I136" s="888" t="s">
        <v>942</v>
      </c>
      <c r="J136" s="887"/>
      <c r="K136" s="887"/>
      <c r="L136" s="888"/>
      <c r="M136" s="890"/>
      <c r="N136" s="897">
        <f>C135*12</f>
        <v>52904196</v>
      </c>
    </row>
    <row r="137" spans="1:23" ht="16.5" customHeight="1">
      <c r="A137" s="1409" t="s">
        <v>947</v>
      </c>
      <c r="B137" s="1410"/>
      <c r="C137" s="885">
        <f t="shared" ref="C137:C142" si="5">TRUNC(E137*H137%,0)</f>
        <v>144265</v>
      </c>
      <c r="D137" s="886"/>
      <c r="E137" s="887">
        <f>E136</f>
        <v>4069554</v>
      </c>
      <c r="F137" s="888" t="s">
        <v>929</v>
      </c>
      <c r="G137" s="894" t="s">
        <v>930</v>
      </c>
      <c r="H137" s="878">
        <f>보험료산정기준!$I$10</f>
        <v>3.5449999999999999</v>
      </c>
      <c r="I137" s="888" t="s">
        <v>942</v>
      </c>
      <c r="J137" s="887"/>
      <c r="K137" s="887"/>
      <c r="L137" s="888"/>
      <c r="M137" s="890"/>
    </row>
    <row r="138" spans="1:23" ht="16.5" customHeight="1">
      <c r="A138" s="1409" t="s">
        <v>948</v>
      </c>
      <c r="B138" s="1410"/>
      <c r="C138" s="885">
        <f t="shared" si="5"/>
        <v>36625</v>
      </c>
      <c r="D138" s="886"/>
      <c r="E138" s="887">
        <f>E136</f>
        <v>4069554</v>
      </c>
      <c r="F138" s="888" t="s">
        <v>929</v>
      </c>
      <c r="G138" s="894" t="s">
        <v>930</v>
      </c>
      <c r="H138" s="875">
        <f>보험료산정기준!$I$7</f>
        <v>0.9</v>
      </c>
      <c r="I138" s="888" t="s">
        <v>942</v>
      </c>
      <c r="J138" s="887"/>
      <c r="K138" s="887"/>
      <c r="L138" s="888"/>
      <c r="M138" s="890"/>
    </row>
    <row r="139" spans="1:23" ht="16.5" customHeight="1">
      <c r="A139" s="1409" t="s">
        <v>949</v>
      </c>
      <c r="B139" s="1410"/>
      <c r="C139" s="885">
        <f t="shared" si="5"/>
        <v>46799</v>
      </c>
      <c r="D139" s="886"/>
      <c r="E139" s="887">
        <f>E136</f>
        <v>4069554</v>
      </c>
      <c r="F139" s="888" t="s">
        <v>929</v>
      </c>
      <c r="G139" s="894" t="s">
        <v>930</v>
      </c>
      <c r="H139" s="875">
        <f>보험료산정기준!$I$9</f>
        <v>1.1499999999999999</v>
      </c>
      <c r="I139" s="888" t="s">
        <v>942</v>
      </c>
      <c r="J139" s="887"/>
      <c r="K139" s="887"/>
      <c r="L139" s="888"/>
      <c r="M139" s="890"/>
    </row>
    <row r="140" spans="1:23" ht="16.5" customHeight="1">
      <c r="A140" s="1409" t="s">
        <v>951</v>
      </c>
      <c r="B140" s="1410"/>
      <c r="C140" s="885">
        <f t="shared" si="5"/>
        <v>18480</v>
      </c>
      <c r="D140" s="886"/>
      <c r="E140" s="887">
        <f>C137</f>
        <v>144265</v>
      </c>
      <c r="F140" s="888" t="s">
        <v>929</v>
      </c>
      <c r="G140" s="894" t="s">
        <v>930</v>
      </c>
      <c r="H140" s="875">
        <f>보험료산정기준!$I$11</f>
        <v>12.81</v>
      </c>
      <c r="I140" s="888" t="s">
        <v>942</v>
      </c>
      <c r="J140" s="887"/>
      <c r="K140" s="887"/>
      <c r="L140" s="888"/>
      <c r="M140" s="890"/>
      <c r="N140" s="899" t="s">
        <v>966</v>
      </c>
      <c r="O140" s="900">
        <f>E140</f>
        <v>144265</v>
      </c>
      <c r="P140" s="848" t="s">
        <v>964</v>
      </c>
      <c r="Q140" s="848" t="s">
        <v>965</v>
      </c>
      <c r="R140" s="898" t="s">
        <v>963</v>
      </c>
      <c r="S140" s="897">
        <f>O140*12</f>
        <v>1731180</v>
      </c>
    </row>
    <row r="141" spans="1:23" ht="16.5" customHeight="1">
      <c r="A141" s="1409" t="s">
        <v>952</v>
      </c>
      <c r="B141" s="1410"/>
      <c r="C141" s="885">
        <f t="shared" si="5"/>
        <v>2441</v>
      </c>
      <c r="D141" s="886"/>
      <c r="E141" s="887">
        <f>E136</f>
        <v>4069554</v>
      </c>
      <c r="F141" s="888" t="s">
        <v>929</v>
      </c>
      <c r="G141" s="894" t="s">
        <v>930</v>
      </c>
      <c r="H141" s="875">
        <f>보험료산정기준!$I$12</f>
        <v>0.06</v>
      </c>
      <c r="I141" s="888" t="s">
        <v>942</v>
      </c>
      <c r="J141" s="887"/>
      <c r="K141" s="887"/>
      <c r="L141" s="888"/>
      <c r="M141" s="890"/>
    </row>
    <row r="142" spans="1:23" ht="16.5" customHeight="1">
      <c r="A142" s="1409" t="s">
        <v>953</v>
      </c>
      <c r="B142" s="1410"/>
      <c r="C142" s="885">
        <f t="shared" si="5"/>
        <v>162</v>
      </c>
      <c r="D142" s="886"/>
      <c r="E142" s="887">
        <f>E136</f>
        <v>4069554</v>
      </c>
      <c r="F142" s="888" t="s">
        <v>929</v>
      </c>
      <c r="G142" s="894" t="s">
        <v>930</v>
      </c>
      <c r="H142" s="878">
        <f>보험료산정기준!$I$13</f>
        <v>4.0000000000000001E-3</v>
      </c>
      <c r="I142" s="888" t="s">
        <v>942</v>
      </c>
      <c r="J142" s="887"/>
      <c r="K142" s="887"/>
      <c r="L142" s="888"/>
      <c r="M142" s="890"/>
    </row>
    <row r="143" spans="1:23" ht="16.5" customHeight="1">
      <c r="A143" s="1409" t="s">
        <v>954</v>
      </c>
      <c r="B143" s="1410"/>
      <c r="C143" s="885">
        <f>+C136+C137+C138+C139+C140+C141+C142</f>
        <v>431901</v>
      </c>
      <c r="D143" s="886"/>
      <c r="E143" s="887"/>
      <c r="F143" s="888"/>
      <c r="G143" s="887"/>
      <c r="H143" s="889"/>
      <c r="I143" s="888"/>
      <c r="J143" s="887"/>
      <c r="K143" s="887"/>
      <c r="L143" s="888"/>
      <c r="M143" s="890"/>
    </row>
    <row r="144" spans="1:23" ht="16.5" customHeight="1">
      <c r="A144" s="1409" t="s">
        <v>955</v>
      </c>
      <c r="B144" s="1410"/>
      <c r="C144" s="885">
        <f>+C135+C143</f>
        <v>4840584</v>
      </c>
      <c r="D144" s="886"/>
      <c r="E144" s="887"/>
      <c r="F144" s="888"/>
      <c r="G144" s="887"/>
      <c r="H144" s="889"/>
      <c r="I144" s="888"/>
      <c r="J144" s="887"/>
      <c r="K144" s="887"/>
      <c r="L144" s="888"/>
      <c r="M144" s="890"/>
      <c r="N144" s="880">
        <f>C145*H129</f>
        <v>4840629.2</v>
      </c>
      <c r="O144" s="881">
        <f>C144-N144</f>
        <v>-45.200000000186265</v>
      </c>
    </row>
    <row r="145" spans="1:13" ht="16.5" customHeight="1">
      <c r="A145" s="1409" t="s">
        <v>956</v>
      </c>
      <c r="B145" s="1410"/>
      <c r="C145" s="885">
        <f>C127</f>
        <v>234982</v>
      </c>
      <c r="D145" s="886"/>
      <c r="E145" s="893"/>
      <c r="F145" s="888"/>
      <c r="G145" s="887"/>
      <c r="H145" s="889"/>
      <c r="I145" s="888"/>
      <c r="J145" s="887"/>
      <c r="K145" s="887"/>
      <c r="L145" s="888"/>
      <c r="M145" s="890"/>
    </row>
    <row r="146" spans="1:13" ht="16.5" customHeight="1">
      <c r="A146" s="1414"/>
      <c r="B146" s="1414"/>
      <c r="C146" s="882"/>
      <c r="D146" s="882"/>
      <c r="E146" s="882"/>
      <c r="F146" s="883"/>
      <c r="G146" s="882"/>
      <c r="H146" s="1415"/>
      <c r="I146" s="1415"/>
      <c r="J146" s="1415"/>
      <c r="K146" s="1415"/>
      <c r="L146" s="1415"/>
      <c r="M146" s="1415"/>
    </row>
    <row r="147" spans="1:13" ht="16.5" hidden="1" customHeight="1">
      <c r="A147" s="852"/>
      <c r="B147" s="852"/>
      <c r="C147" s="882"/>
      <c r="D147" s="882"/>
      <c r="E147" s="882"/>
      <c r="F147" s="883"/>
      <c r="G147" s="882"/>
      <c r="H147" s="902"/>
      <c r="I147" s="902"/>
      <c r="J147" s="902"/>
      <c r="K147" s="902"/>
      <c r="L147" s="902"/>
      <c r="M147" s="902"/>
    </row>
    <row r="148" spans="1:13" ht="16.5" hidden="1" customHeight="1">
      <c r="A148" s="852"/>
      <c r="B148" s="852"/>
      <c r="C148" s="882"/>
      <c r="D148" s="882"/>
      <c r="E148" s="882"/>
      <c r="F148" s="883"/>
      <c r="G148" s="882"/>
      <c r="H148" s="902"/>
      <c r="I148" s="902"/>
      <c r="J148" s="902"/>
      <c r="K148" s="902"/>
      <c r="L148" s="902"/>
      <c r="M148" s="902"/>
    </row>
    <row r="149" spans="1:13" ht="16.5" customHeight="1">
      <c r="A149" s="852"/>
      <c r="B149" s="852"/>
      <c r="C149" s="882"/>
      <c r="D149" s="882"/>
      <c r="E149" s="882"/>
      <c r="F149" s="883"/>
      <c r="G149" s="882"/>
      <c r="H149" s="902"/>
      <c r="I149" s="902"/>
      <c r="J149" s="902"/>
      <c r="K149" s="902"/>
      <c r="L149" s="902"/>
      <c r="M149" s="902"/>
    </row>
    <row r="150" spans="1:13" ht="16.5" customHeight="1">
      <c r="A150" s="851"/>
      <c r="B150" s="852"/>
      <c r="C150" s="852"/>
      <c r="D150" s="852"/>
      <c r="E150" s="852"/>
      <c r="F150" s="853"/>
      <c r="G150" s="852"/>
      <c r="H150" s="854"/>
      <c r="I150" s="853"/>
      <c r="J150" s="852"/>
      <c r="K150" s="852"/>
      <c r="L150" s="853"/>
      <c r="M150" s="854" t="s">
        <v>918</v>
      </c>
    </row>
    <row r="151" spans="1:13" ht="16.5" hidden="1" customHeight="1">
      <c r="A151" s="855"/>
    </row>
    <row r="152" spans="1:13" ht="16.5" customHeight="1">
      <c r="A152" s="1416" t="s">
        <v>919</v>
      </c>
      <c r="B152" s="1416"/>
      <c r="C152" s="856" t="s">
        <v>920</v>
      </c>
      <c r="D152" s="1417" t="s">
        <v>921</v>
      </c>
      <c r="E152" s="1418"/>
      <c r="F152" s="1418"/>
      <c r="G152" s="1418"/>
      <c r="H152" s="1418"/>
      <c r="I152" s="1418"/>
      <c r="J152" s="1418"/>
      <c r="K152" s="1418"/>
      <c r="L152" s="1418"/>
      <c r="M152" s="1419"/>
    </row>
    <row r="153" spans="1:13" ht="16.5" customHeight="1">
      <c r="A153" s="1420" t="s">
        <v>971</v>
      </c>
      <c r="B153" s="1421"/>
      <c r="C153" s="885">
        <f>엔지니어노임!H13</f>
        <v>209077</v>
      </c>
      <c r="D153" s="886"/>
      <c r="E153" s="887"/>
      <c r="F153" s="888"/>
      <c r="G153" s="887"/>
      <c r="H153" s="889"/>
      <c r="I153" s="888"/>
      <c r="J153" s="887"/>
      <c r="K153" s="887"/>
      <c r="L153" s="888"/>
      <c r="M153" s="890"/>
    </row>
    <row r="154" spans="1:13" ht="16.5" customHeight="1">
      <c r="A154" s="1409" t="s">
        <v>923</v>
      </c>
      <c r="B154" s="1410"/>
      <c r="C154" s="885">
        <f>TRUNC((C155+C157+C159)/209,0)</f>
        <v>16534</v>
      </c>
      <c r="D154" s="886"/>
      <c r="E154" s="893" t="s">
        <v>959</v>
      </c>
      <c r="F154" s="888"/>
      <c r="G154" s="887"/>
      <c r="H154" s="889"/>
      <c r="I154" s="888"/>
      <c r="J154" s="887"/>
      <c r="K154" s="887"/>
      <c r="L154" s="888"/>
      <c r="M154" s="890"/>
    </row>
    <row r="155" spans="1:13" ht="16.5" customHeight="1">
      <c r="A155" s="1411" t="s">
        <v>928</v>
      </c>
      <c r="B155" s="1412"/>
      <c r="C155" s="885">
        <f>TRUNC(E155*H155,0)</f>
        <v>2238540</v>
      </c>
      <c r="D155" s="886"/>
      <c r="E155" s="887">
        <v>108667</v>
      </c>
      <c r="F155" s="888" t="s">
        <v>929</v>
      </c>
      <c r="G155" s="894" t="s">
        <v>930</v>
      </c>
      <c r="H155" s="895">
        <v>20.6</v>
      </c>
      <c r="I155" s="888" t="s">
        <v>931</v>
      </c>
      <c r="J155" s="887"/>
      <c r="K155" s="887"/>
      <c r="L155" s="888"/>
      <c r="M155" s="890"/>
    </row>
    <row r="156" spans="1:13" ht="16.5" customHeight="1">
      <c r="A156" s="1411" t="s">
        <v>933</v>
      </c>
      <c r="B156" s="1412"/>
      <c r="C156" s="885">
        <f>TRUNC(C157+C158,0)</f>
        <v>636230</v>
      </c>
      <c r="D156" s="886"/>
      <c r="E156" s="887"/>
      <c r="F156" s="888"/>
      <c r="G156" s="887"/>
      <c r="H156" s="889"/>
      <c r="I156" s="888"/>
      <c r="J156" s="887"/>
      <c r="K156" s="887"/>
      <c r="L156" s="888"/>
      <c r="M156" s="890"/>
    </row>
    <row r="157" spans="1:13" ht="16.5" customHeight="1">
      <c r="A157" s="1409" t="s">
        <v>934</v>
      </c>
      <c r="B157" s="1410"/>
      <c r="C157" s="885">
        <f>TRUNC(E157*H157/K157,0)</f>
        <v>470890</v>
      </c>
      <c r="D157" s="886"/>
      <c r="E157" s="887">
        <f>E155</f>
        <v>108667</v>
      </c>
      <c r="F157" s="888" t="s">
        <v>929</v>
      </c>
      <c r="G157" s="894" t="s">
        <v>930</v>
      </c>
      <c r="H157" s="889">
        <v>52</v>
      </c>
      <c r="I157" s="888" t="s">
        <v>931</v>
      </c>
      <c r="J157" s="896" t="s">
        <v>935</v>
      </c>
      <c r="K157" s="887">
        <v>12</v>
      </c>
      <c r="L157" s="888" t="s">
        <v>936</v>
      </c>
      <c r="M157" s="890"/>
    </row>
    <row r="158" spans="1:13" ht="16.5" customHeight="1">
      <c r="A158" s="1409" t="s">
        <v>939</v>
      </c>
      <c r="B158" s="1410"/>
      <c r="C158" s="885">
        <f>TRUNC(E158*H158/K158,0)</f>
        <v>165340</v>
      </c>
      <c r="D158" s="886"/>
      <c r="E158" s="887">
        <f>C154*8</f>
        <v>132272</v>
      </c>
      <c r="F158" s="888" t="s">
        <v>929</v>
      </c>
      <c r="G158" s="894" t="s">
        <v>930</v>
      </c>
      <c r="H158" s="889">
        <v>15</v>
      </c>
      <c r="I158" s="846" t="s">
        <v>931</v>
      </c>
      <c r="J158" s="896" t="s">
        <v>935</v>
      </c>
      <c r="K158" s="887">
        <v>12</v>
      </c>
      <c r="L158" s="888" t="s">
        <v>936</v>
      </c>
      <c r="M158" s="890"/>
    </row>
    <row r="159" spans="1:13" ht="16.5" customHeight="1">
      <c r="A159" s="1411" t="s">
        <v>941</v>
      </c>
      <c r="B159" s="1412"/>
      <c r="C159" s="885">
        <f>TRUNC(E159*H159%/K159,0)</f>
        <v>746180</v>
      </c>
      <c r="D159" s="886"/>
      <c r="E159" s="887">
        <f>C155</f>
        <v>2238540</v>
      </c>
      <c r="F159" s="888" t="s">
        <v>929</v>
      </c>
      <c r="G159" s="894" t="s">
        <v>930</v>
      </c>
      <c r="H159" s="889">
        <v>400</v>
      </c>
      <c r="I159" s="888" t="s">
        <v>942</v>
      </c>
      <c r="J159" s="896" t="s">
        <v>935</v>
      </c>
      <c r="K159" s="887">
        <v>12</v>
      </c>
      <c r="L159" s="888" t="s">
        <v>936</v>
      </c>
      <c r="M159" s="890"/>
    </row>
    <row r="160" spans="1:13" ht="16.5" customHeight="1">
      <c r="A160" s="1411" t="s">
        <v>943</v>
      </c>
      <c r="B160" s="1412"/>
      <c r="C160" s="885">
        <f>TRUNC((C155+C156+C159)/12,0)</f>
        <v>301745</v>
      </c>
      <c r="D160" s="886"/>
      <c r="E160" s="1413" t="s">
        <v>960</v>
      </c>
      <c r="F160" s="1413"/>
      <c r="G160" s="1413"/>
      <c r="H160" s="1413"/>
      <c r="I160" s="1413"/>
      <c r="J160" s="1413"/>
      <c r="K160" s="1413"/>
      <c r="L160" s="1413"/>
      <c r="M160" s="890"/>
    </row>
    <row r="161" spans="1:23" ht="16.5" customHeight="1">
      <c r="A161" s="1409" t="s">
        <v>945</v>
      </c>
      <c r="B161" s="1410"/>
      <c r="C161" s="885">
        <f>+C155+C156+C159+C160</f>
        <v>3922695</v>
      </c>
      <c r="D161" s="886"/>
      <c r="E161" s="887"/>
      <c r="F161" s="888"/>
      <c r="G161" s="887"/>
      <c r="H161" s="889"/>
      <c r="I161" s="888"/>
      <c r="J161" s="887"/>
      <c r="K161" s="887"/>
      <c r="L161" s="888"/>
      <c r="M161" s="890"/>
      <c r="N161" s="897" t="s">
        <v>961</v>
      </c>
      <c r="O161" s="881">
        <f>C161</f>
        <v>3922695</v>
      </c>
      <c r="P161" s="898" t="s">
        <v>962</v>
      </c>
      <c r="Q161" s="897">
        <f>C160</f>
        <v>301745</v>
      </c>
      <c r="R161" s="898" t="s">
        <v>963</v>
      </c>
      <c r="S161" s="897">
        <f>O161-Q161</f>
        <v>3620950</v>
      </c>
      <c r="T161" s="848" t="s">
        <v>964</v>
      </c>
      <c r="U161" s="848" t="s">
        <v>965</v>
      </c>
      <c r="V161" s="898" t="s">
        <v>963</v>
      </c>
      <c r="W161" s="897">
        <f>S161*12</f>
        <v>43451400</v>
      </c>
    </row>
    <row r="162" spans="1:23" ht="16.5" customHeight="1">
      <c r="A162" s="1409" t="s">
        <v>946</v>
      </c>
      <c r="B162" s="1410"/>
      <c r="C162" s="885">
        <f>TRUNC(E162*H162%,0)</f>
        <v>162942</v>
      </c>
      <c r="D162" s="886"/>
      <c r="E162" s="887">
        <f>+C161-C160</f>
        <v>3620950</v>
      </c>
      <c r="F162" s="888" t="s">
        <v>929</v>
      </c>
      <c r="G162" s="894" t="s">
        <v>930</v>
      </c>
      <c r="H162" s="875">
        <f>보험료산정기준!$I$8</f>
        <v>4.5</v>
      </c>
      <c r="I162" s="888" t="s">
        <v>942</v>
      </c>
      <c r="J162" s="887"/>
      <c r="K162" s="887"/>
      <c r="L162" s="888"/>
      <c r="M162" s="890"/>
      <c r="N162" s="897">
        <f>C161*12</f>
        <v>47072340</v>
      </c>
    </row>
    <row r="163" spans="1:23" ht="16.5" customHeight="1">
      <c r="A163" s="1409" t="s">
        <v>947</v>
      </c>
      <c r="B163" s="1410"/>
      <c r="C163" s="885">
        <f t="shared" ref="C163:C168" si="6">TRUNC(E163*H163%,0)</f>
        <v>128362</v>
      </c>
      <c r="D163" s="886"/>
      <c r="E163" s="887">
        <f>E162</f>
        <v>3620950</v>
      </c>
      <c r="F163" s="888" t="s">
        <v>929</v>
      </c>
      <c r="G163" s="894" t="s">
        <v>930</v>
      </c>
      <c r="H163" s="878">
        <f>보험료산정기준!$I$10</f>
        <v>3.5449999999999999</v>
      </c>
      <c r="I163" s="888" t="s">
        <v>942</v>
      </c>
      <c r="J163" s="887"/>
      <c r="K163" s="887"/>
      <c r="L163" s="888"/>
      <c r="M163" s="890"/>
    </row>
    <row r="164" spans="1:23" ht="16.5" customHeight="1">
      <c r="A164" s="1409" t="s">
        <v>948</v>
      </c>
      <c r="B164" s="1410"/>
      <c r="C164" s="885">
        <f t="shared" si="6"/>
        <v>32588</v>
      </c>
      <c r="D164" s="886"/>
      <c r="E164" s="887">
        <f>E162</f>
        <v>3620950</v>
      </c>
      <c r="F164" s="888" t="s">
        <v>929</v>
      </c>
      <c r="G164" s="894" t="s">
        <v>930</v>
      </c>
      <c r="H164" s="875">
        <f>보험료산정기준!$I$7</f>
        <v>0.9</v>
      </c>
      <c r="I164" s="888" t="s">
        <v>942</v>
      </c>
      <c r="J164" s="887"/>
      <c r="K164" s="887"/>
      <c r="L164" s="888"/>
      <c r="M164" s="890"/>
    </row>
    <row r="165" spans="1:23" ht="16.5" customHeight="1">
      <c r="A165" s="1409" t="s">
        <v>949</v>
      </c>
      <c r="B165" s="1410"/>
      <c r="C165" s="885">
        <f t="shared" si="6"/>
        <v>41640</v>
      </c>
      <c r="D165" s="886"/>
      <c r="E165" s="887">
        <f>E162</f>
        <v>3620950</v>
      </c>
      <c r="F165" s="888" t="s">
        <v>929</v>
      </c>
      <c r="G165" s="894" t="s">
        <v>930</v>
      </c>
      <c r="H165" s="875">
        <f>보험료산정기준!$I$9</f>
        <v>1.1499999999999999</v>
      </c>
      <c r="I165" s="888" t="s">
        <v>942</v>
      </c>
      <c r="J165" s="887"/>
      <c r="K165" s="887"/>
      <c r="L165" s="888"/>
      <c r="M165" s="890"/>
    </row>
    <row r="166" spans="1:23" ht="16.5" customHeight="1">
      <c r="A166" s="1409" t="s">
        <v>951</v>
      </c>
      <c r="B166" s="1410"/>
      <c r="C166" s="885">
        <f t="shared" si="6"/>
        <v>16443</v>
      </c>
      <c r="D166" s="886"/>
      <c r="E166" s="887">
        <f>C163</f>
        <v>128362</v>
      </c>
      <c r="F166" s="888" t="s">
        <v>929</v>
      </c>
      <c r="G166" s="894" t="s">
        <v>930</v>
      </c>
      <c r="H166" s="875">
        <f>보험료산정기준!$I$11</f>
        <v>12.81</v>
      </c>
      <c r="I166" s="888" t="s">
        <v>942</v>
      </c>
      <c r="J166" s="887"/>
      <c r="K166" s="887"/>
      <c r="L166" s="888"/>
      <c r="M166" s="890"/>
      <c r="N166" s="899" t="s">
        <v>966</v>
      </c>
      <c r="O166" s="900">
        <f>E166</f>
        <v>128362</v>
      </c>
      <c r="P166" s="848" t="s">
        <v>964</v>
      </c>
      <c r="Q166" s="848" t="s">
        <v>965</v>
      </c>
      <c r="R166" s="898" t="s">
        <v>963</v>
      </c>
      <c r="S166" s="897">
        <f>O166*12</f>
        <v>1540344</v>
      </c>
    </row>
    <row r="167" spans="1:23" ht="16.5" customHeight="1">
      <c r="A167" s="1409" t="s">
        <v>952</v>
      </c>
      <c r="B167" s="1410"/>
      <c r="C167" s="885">
        <f t="shared" si="6"/>
        <v>2172</v>
      </c>
      <c r="D167" s="886"/>
      <c r="E167" s="887">
        <f>E162</f>
        <v>3620950</v>
      </c>
      <c r="F167" s="888" t="s">
        <v>929</v>
      </c>
      <c r="G167" s="894" t="s">
        <v>930</v>
      </c>
      <c r="H167" s="875">
        <f>보험료산정기준!$I$12</f>
        <v>0.06</v>
      </c>
      <c r="I167" s="888" t="s">
        <v>942</v>
      </c>
      <c r="J167" s="887"/>
      <c r="K167" s="887"/>
      <c r="L167" s="888"/>
      <c r="M167" s="890"/>
    </row>
    <row r="168" spans="1:23" ht="16.5" customHeight="1">
      <c r="A168" s="1409" t="s">
        <v>953</v>
      </c>
      <c r="B168" s="1410"/>
      <c r="C168" s="885">
        <f t="shared" si="6"/>
        <v>144</v>
      </c>
      <c r="D168" s="886"/>
      <c r="E168" s="887">
        <f>E162</f>
        <v>3620950</v>
      </c>
      <c r="F168" s="888" t="s">
        <v>929</v>
      </c>
      <c r="G168" s="894" t="s">
        <v>930</v>
      </c>
      <c r="H168" s="878">
        <f>보험료산정기준!$I$13</f>
        <v>4.0000000000000001E-3</v>
      </c>
      <c r="I168" s="888" t="s">
        <v>942</v>
      </c>
      <c r="J168" s="887"/>
      <c r="K168" s="887"/>
      <c r="L168" s="888"/>
      <c r="M168" s="890"/>
    </row>
    <row r="169" spans="1:23" ht="16.5" customHeight="1">
      <c r="A169" s="1409" t="s">
        <v>954</v>
      </c>
      <c r="B169" s="1410"/>
      <c r="C169" s="885">
        <f>+C162+C163+C164+C165+C166+C167+C168</f>
        <v>384291</v>
      </c>
      <c r="D169" s="886"/>
      <c r="E169" s="887"/>
      <c r="F169" s="888"/>
      <c r="G169" s="887"/>
      <c r="H169" s="889"/>
      <c r="I169" s="888"/>
      <c r="J169" s="887"/>
      <c r="K169" s="887"/>
      <c r="L169" s="888"/>
      <c r="M169" s="890"/>
    </row>
    <row r="170" spans="1:23" ht="16.5" customHeight="1">
      <c r="A170" s="1409" t="s">
        <v>955</v>
      </c>
      <c r="B170" s="1410"/>
      <c r="C170" s="885">
        <f>+C161+C169</f>
        <v>4306986</v>
      </c>
      <c r="D170" s="886"/>
      <c r="E170" s="887"/>
      <c r="F170" s="888"/>
      <c r="G170" s="887"/>
      <c r="H170" s="889"/>
      <c r="I170" s="888"/>
      <c r="J170" s="887"/>
      <c r="K170" s="887"/>
      <c r="L170" s="888"/>
      <c r="M170" s="890"/>
      <c r="N170" s="880">
        <f>C171*H155</f>
        <v>4306986.2</v>
      </c>
      <c r="O170" s="881">
        <f>C170-N170</f>
        <v>-0.20000000018626451</v>
      </c>
    </row>
    <row r="171" spans="1:23" ht="16.5" customHeight="1">
      <c r="A171" s="1409" t="s">
        <v>956</v>
      </c>
      <c r="B171" s="1410"/>
      <c r="C171" s="885">
        <f>C153</f>
        <v>209077</v>
      </c>
      <c r="D171" s="886"/>
      <c r="E171" s="893"/>
      <c r="F171" s="888"/>
      <c r="G171" s="887"/>
      <c r="H171" s="889"/>
      <c r="I171" s="888"/>
      <c r="J171" s="887"/>
      <c r="K171" s="887"/>
      <c r="L171" s="888"/>
      <c r="M171" s="890"/>
    </row>
    <row r="172" spans="1:23" ht="16.5" customHeight="1">
      <c r="A172" s="1414"/>
      <c r="B172" s="1414"/>
      <c r="C172" s="882"/>
      <c r="D172" s="882"/>
      <c r="E172" s="882"/>
      <c r="F172" s="883"/>
      <c r="G172" s="882"/>
      <c r="H172" s="1415"/>
      <c r="I172" s="1415"/>
      <c r="J172" s="1415"/>
      <c r="K172" s="1415"/>
      <c r="L172" s="1415"/>
      <c r="M172" s="1415"/>
    </row>
    <row r="173" spans="1:23" ht="16.5" customHeight="1">
      <c r="A173" s="851"/>
      <c r="B173" s="852"/>
      <c r="C173" s="852"/>
      <c r="D173" s="852"/>
      <c r="E173" s="852"/>
      <c r="F173" s="853"/>
      <c r="G173" s="852"/>
      <c r="H173" s="854"/>
      <c r="I173" s="853"/>
      <c r="J173" s="852"/>
      <c r="K173" s="852"/>
      <c r="L173" s="853"/>
      <c r="M173" s="854" t="s">
        <v>918</v>
      </c>
    </row>
    <row r="174" spans="1:23" ht="16.5" hidden="1" customHeight="1">
      <c r="A174" s="855"/>
    </row>
    <row r="175" spans="1:23" ht="16.5" customHeight="1">
      <c r="A175" s="1416" t="s">
        <v>919</v>
      </c>
      <c r="B175" s="1416"/>
      <c r="C175" s="856" t="s">
        <v>920</v>
      </c>
      <c r="D175" s="1417" t="s">
        <v>921</v>
      </c>
      <c r="E175" s="1418"/>
      <c r="F175" s="1418"/>
      <c r="G175" s="1418"/>
      <c r="H175" s="1418"/>
      <c r="I175" s="1418"/>
      <c r="J175" s="1418"/>
      <c r="K175" s="1418"/>
      <c r="L175" s="1418"/>
      <c r="M175" s="1419"/>
    </row>
    <row r="176" spans="1:23" ht="16.5" customHeight="1">
      <c r="A176" s="1420" t="s">
        <v>972</v>
      </c>
      <c r="B176" s="1421"/>
      <c r="C176" s="885">
        <f>엔지니어노임!H14</f>
        <v>183671</v>
      </c>
      <c r="D176" s="886"/>
      <c r="E176" s="887"/>
      <c r="F176" s="888"/>
      <c r="G176" s="887"/>
      <c r="H176" s="889"/>
      <c r="I176" s="888"/>
      <c r="J176" s="887"/>
      <c r="K176" s="887"/>
      <c r="L176" s="888"/>
      <c r="M176" s="890"/>
    </row>
    <row r="177" spans="1:23" ht="16.5" customHeight="1">
      <c r="A177" s="1409" t="s">
        <v>923</v>
      </c>
      <c r="B177" s="1410"/>
      <c r="C177" s="885">
        <f>TRUNC((C178+C180+C182)/209,0)</f>
        <v>14524</v>
      </c>
      <c r="D177" s="886"/>
      <c r="E177" s="893" t="s">
        <v>959</v>
      </c>
      <c r="F177" s="888"/>
      <c r="G177" s="887"/>
      <c r="H177" s="889"/>
      <c r="I177" s="888"/>
      <c r="J177" s="887"/>
      <c r="K177" s="887"/>
      <c r="L177" s="888"/>
      <c r="M177" s="890"/>
    </row>
    <row r="178" spans="1:23" ht="16.5" customHeight="1">
      <c r="A178" s="1411" t="s">
        <v>928</v>
      </c>
      <c r="B178" s="1412"/>
      <c r="C178" s="885">
        <f>TRUNC(E178*H178,0)</f>
        <v>1966517</v>
      </c>
      <c r="D178" s="886"/>
      <c r="E178" s="887">
        <v>95462</v>
      </c>
      <c r="F178" s="888" t="s">
        <v>929</v>
      </c>
      <c r="G178" s="894" t="s">
        <v>930</v>
      </c>
      <c r="H178" s="895">
        <v>20.6</v>
      </c>
      <c r="I178" s="888" t="s">
        <v>931</v>
      </c>
      <c r="J178" s="887"/>
      <c r="K178" s="887"/>
      <c r="L178" s="888"/>
      <c r="M178" s="890"/>
    </row>
    <row r="179" spans="1:23" ht="16.5" customHeight="1">
      <c r="A179" s="1411" t="s">
        <v>933</v>
      </c>
      <c r="B179" s="1412"/>
      <c r="C179" s="885">
        <f>TRUNC(C180+C181,0)</f>
        <v>558908</v>
      </c>
      <c r="D179" s="886"/>
      <c r="E179" s="887"/>
      <c r="F179" s="888"/>
      <c r="G179" s="887"/>
      <c r="H179" s="889"/>
      <c r="I179" s="888"/>
      <c r="J179" s="887"/>
      <c r="K179" s="887"/>
      <c r="L179" s="888"/>
      <c r="M179" s="890"/>
    </row>
    <row r="180" spans="1:23" ht="16.5" customHeight="1">
      <c r="A180" s="1409" t="s">
        <v>934</v>
      </c>
      <c r="B180" s="1410"/>
      <c r="C180" s="885">
        <f>TRUNC(E180*H180/K180,0)</f>
        <v>413668</v>
      </c>
      <c r="D180" s="886"/>
      <c r="E180" s="887">
        <f>E178</f>
        <v>95462</v>
      </c>
      <c r="F180" s="888" t="s">
        <v>929</v>
      </c>
      <c r="G180" s="894" t="s">
        <v>930</v>
      </c>
      <c r="H180" s="889">
        <v>52</v>
      </c>
      <c r="I180" s="888" t="s">
        <v>931</v>
      </c>
      <c r="J180" s="896" t="s">
        <v>935</v>
      </c>
      <c r="K180" s="887">
        <v>12</v>
      </c>
      <c r="L180" s="888" t="s">
        <v>936</v>
      </c>
      <c r="M180" s="890"/>
    </row>
    <row r="181" spans="1:23" ht="16.5" customHeight="1">
      <c r="A181" s="1409" t="s">
        <v>939</v>
      </c>
      <c r="B181" s="1410"/>
      <c r="C181" s="885">
        <f>TRUNC(E181*H181/K181,0)</f>
        <v>145240</v>
      </c>
      <c r="D181" s="886"/>
      <c r="E181" s="887">
        <f>C177*8</f>
        <v>116192</v>
      </c>
      <c r="F181" s="888" t="s">
        <v>929</v>
      </c>
      <c r="G181" s="894" t="s">
        <v>930</v>
      </c>
      <c r="H181" s="889">
        <v>15</v>
      </c>
      <c r="I181" s="846" t="s">
        <v>931</v>
      </c>
      <c r="J181" s="896" t="s">
        <v>935</v>
      </c>
      <c r="K181" s="887">
        <v>12</v>
      </c>
      <c r="L181" s="888" t="s">
        <v>936</v>
      </c>
      <c r="M181" s="890"/>
    </row>
    <row r="182" spans="1:23" ht="16.5" customHeight="1">
      <c r="A182" s="1411" t="s">
        <v>941</v>
      </c>
      <c r="B182" s="1412"/>
      <c r="C182" s="885">
        <f>TRUNC(E182*H182%/K182,0)</f>
        <v>655505</v>
      </c>
      <c r="D182" s="886"/>
      <c r="E182" s="887">
        <f>C178</f>
        <v>1966517</v>
      </c>
      <c r="F182" s="888" t="s">
        <v>929</v>
      </c>
      <c r="G182" s="894" t="s">
        <v>930</v>
      </c>
      <c r="H182" s="889">
        <v>400</v>
      </c>
      <c r="I182" s="888" t="s">
        <v>942</v>
      </c>
      <c r="J182" s="896" t="s">
        <v>935</v>
      </c>
      <c r="K182" s="887">
        <v>12</v>
      </c>
      <c r="L182" s="888" t="s">
        <v>936</v>
      </c>
      <c r="M182" s="890"/>
    </row>
    <row r="183" spans="1:23" ht="16.5" customHeight="1">
      <c r="A183" s="1411" t="s">
        <v>943</v>
      </c>
      <c r="B183" s="1412"/>
      <c r="C183" s="885">
        <f>TRUNC((C178+C179+C182)/12,0)</f>
        <v>265077</v>
      </c>
      <c r="D183" s="886"/>
      <c r="E183" s="1413" t="s">
        <v>960</v>
      </c>
      <c r="F183" s="1413"/>
      <c r="G183" s="1413"/>
      <c r="H183" s="1413"/>
      <c r="I183" s="1413"/>
      <c r="J183" s="1413"/>
      <c r="K183" s="1413"/>
      <c r="L183" s="1413"/>
      <c r="M183" s="890"/>
    </row>
    <row r="184" spans="1:23" ht="16.5" customHeight="1">
      <c r="A184" s="1409" t="s">
        <v>945</v>
      </c>
      <c r="B184" s="1410"/>
      <c r="C184" s="885">
        <f>+C178+C179+C182+C183</f>
        <v>3446007</v>
      </c>
      <c r="D184" s="886"/>
      <c r="E184" s="887"/>
      <c r="F184" s="888"/>
      <c r="G184" s="887"/>
      <c r="H184" s="889"/>
      <c r="I184" s="888"/>
      <c r="J184" s="887"/>
      <c r="K184" s="887"/>
      <c r="L184" s="888"/>
      <c r="M184" s="890"/>
      <c r="N184" s="897" t="s">
        <v>961</v>
      </c>
      <c r="O184" s="881">
        <f>C184</f>
        <v>3446007</v>
      </c>
      <c r="P184" s="898" t="s">
        <v>962</v>
      </c>
      <c r="Q184" s="897">
        <f>C183</f>
        <v>265077</v>
      </c>
      <c r="R184" s="898" t="s">
        <v>963</v>
      </c>
      <c r="S184" s="897">
        <f>O184-Q184</f>
        <v>3180930</v>
      </c>
      <c r="T184" s="848" t="s">
        <v>964</v>
      </c>
      <c r="U184" s="848" t="s">
        <v>965</v>
      </c>
      <c r="V184" s="898" t="s">
        <v>963</v>
      </c>
      <c r="W184" s="897">
        <f>S184*12</f>
        <v>38171160</v>
      </c>
    </row>
    <row r="185" spans="1:23" ht="16.5" customHeight="1">
      <c r="A185" s="1409" t="s">
        <v>946</v>
      </c>
      <c r="B185" s="1410"/>
      <c r="C185" s="885">
        <f>TRUNC(E185*H185%,0)</f>
        <v>143141</v>
      </c>
      <c r="D185" s="886"/>
      <c r="E185" s="887">
        <f>+C184-C183</f>
        <v>3180930</v>
      </c>
      <c r="F185" s="888" t="s">
        <v>929</v>
      </c>
      <c r="G185" s="894" t="s">
        <v>930</v>
      </c>
      <c r="H185" s="875">
        <f>보험료산정기준!$I$8</f>
        <v>4.5</v>
      </c>
      <c r="I185" s="888" t="s">
        <v>942</v>
      </c>
      <c r="J185" s="887"/>
      <c r="K185" s="887"/>
      <c r="L185" s="888"/>
      <c r="M185" s="890"/>
      <c r="N185" s="897">
        <f>C184*12</f>
        <v>41352084</v>
      </c>
    </row>
    <row r="186" spans="1:23" ht="16.5" customHeight="1">
      <c r="A186" s="1409" t="s">
        <v>947</v>
      </c>
      <c r="B186" s="1410"/>
      <c r="C186" s="885">
        <f t="shared" ref="C186:C191" si="7">TRUNC(E186*H186%,0)</f>
        <v>112763</v>
      </c>
      <c r="D186" s="886"/>
      <c r="E186" s="887">
        <f>E185</f>
        <v>3180930</v>
      </c>
      <c r="F186" s="888" t="s">
        <v>929</v>
      </c>
      <c r="G186" s="894" t="s">
        <v>930</v>
      </c>
      <c r="H186" s="878">
        <f>보험료산정기준!$I$10</f>
        <v>3.5449999999999999</v>
      </c>
      <c r="I186" s="888" t="s">
        <v>942</v>
      </c>
      <c r="J186" s="887"/>
      <c r="K186" s="887"/>
      <c r="L186" s="888"/>
      <c r="M186" s="890"/>
    </row>
    <row r="187" spans="1:23" ht="16.5" customHeight="1">
      <c r="A187" s="1409" t="s">
        <v>948</v>
      </c>
      <c r="B187" s="1410"/>
      <c r="C187" s="885">
        <f t="shared" si="7"/>
        <v>28628</v>
      </c>
      <c r="D187" s="886"/>
      <c r="E187" s="887">
        <f>E185</f>
        <v>3180930</v>
      </c>
      <c r="F187" s="888" t="s">
        <v>929</v>
      </c>
      <c r="G187" s="894" t="s">
        <v>930</v>
      </c>
      <c r="H187" s="875">
        <f>보험료산정기준!$I$7</f>
        <v>0.9</v>
      </c>
      <c r="I187" s="888" t="s">
        <v>942</v>
      </c>
      <c r="J187" s="887"/>
      <c r="K187" s="887"/>
      <c r="L187" s="888"/>
      <c r="M187" s="890"/>
    </row>
    <row r="188" spans="1:23" ht="16.5" customHeight="1">
      <c r="A188" s="1409" t="s">
        <v>949</v>
      </c>
      <c r="B188" s="1410"/>
      <c r="C188" s="885">
        <f t="shared" si="7"/>
        <v>36580</v>
      </c>
      <c r="D188" s="886"/>
      <c r="E188" s="887">
        <f>E185</f>
        <v>3180930</v>
      </c>
      <c r="F188" s="888" t="s">
        <v>929</v>
      </c>
      <c r="G188" s="894" t="s">
        <v>930</v>
      </c>
      <c r="H188" s="875">
        <f>보험료산정기준!$I$9</f>
        <v>1.1499999999999999</v>
      </c>
      <c r="I188" s="888" t="s">
        <v>942</v>
      </c>
      <c r="J188" s="887"/>
      <c r="K188" s="887"/>
      <c r="L188" s="888"/>
      <c r="M188" s="890"/>
    </row>
    <row r="189" spans="1:23" ht="16.5" customHeight="1">
      <c r="A189" s="1409" t="s">
        <v>951</v>
      </c>
      <c r="B189" s="1410"/>
      <c r="C189" s="885">
        <f t="shared" si="7"/>
        <v>14444</v>
      </c>
      <c r="D189" s="886"/>
      <c r="E189" s="887">
        <f>C186</f>
        <v>112763</v>
      </c>
      <c r="F189" s="888" t="s">
        <v>929</v>
      </c>
      <c r="G189" s="894" t="s">
        <v>930</v>
      </c>
      <c r="H189" s="875">
        <f>보험료산정기준!$I$11</f>
        <v>12.81</v>
      </c>
      <c r="I189" s="888" t="s">
        <v>942</v>
      </c>
      <c r="J189" s="887"/>
      <c r="K189" s="887"/>
      <c r="L189" s="888"/>
      <c r="M189" s="890"/>
      <c r="N189" s="899" t="s">
        <v>966</v>
      </c>
      <c r="O189" s="900">
        <f>E189</f>
        <v>112763</v>
      </c>
      <c r="P189" s="848" t="s">
        <v>964</v>
      </c>
      <c r="Q189" s="848" t="s">
        <v>965</v>
      </c>
      <c r="R189" s="898" t="s">
        <v>963</v>
      </c>
      <c r="S189" s="897">
        <f>O189*12</f>
        <v>1353156</v>
      </c>
    </row>
    <row r="190" spans="1:23" ht="16.5" customHeight="1">
      <c r="A190" s="1409" t="s">
        <v>952</v>
      </c>
      <c r="B190" s="1410"/>
      <c r="C190" s="885">
        <f t="shared" si="7"/>
        <v>1908</v>
      </c>
      <c r="D190" s="886"/>
      <c r="E190" s="887">
        <f>E185</f>
        <v>3180930</v>
      </c>
      <c r="F190" s="888" t="s">
        <v>929</v>
      </c>
      <c r="G190" s="894" t="s">
        <v>930</v>
      </c>
      <c r="H190" s="875">
        <f>보험료산정기준!$I$12</f>
        <v>0.06</v>
      </c>
      <c r="I190" s="888" t="s">
        <v>942</v>
      </c>
      <c r="J190" s="887"/>
      <c r="K190" s="887"/>
      <c r="L190" s="888"/>
      <c r="M190" s="890"/>
    </row>
    <row r="191" spans="1:23" ht="16.5" customHeight="1">
      <c r="A191" s="1409" t="s">
        <v>953</v>
      </c>
      <c r="B191" s="1410"/>
      <c r="C191" s="885">
        <f t="shared" si="7"/>
        <v>127</v>
      </c>
      <c r="D191" s="886"/>
      <c r="E191" s="887">
        <f>E185</f>
        <v>3180930</v>
      </c>
      <c r="F191" s="888" t="s">
        <v>929</v>
      </c>
      <c r="G191" s="894" t="s">
        <v>930</v>
      </c>
      <c r="H191" s="878">
        <f>보험료산정기준!$I$13</f>
        <v>4.0000000000000001E-3</v>
      </c>
      <c r="I191" s="888" t="s">
        <v>942</v>
      </c>
      <c r="J191" s="887"/>
      <c r="K191" s="887"/>
      <c r="L191" s="888"/>
      <c r="M191" s="890"/>
    </row>
    <row r="192" spans="1:23" ht="16.5" customHeight="1">
      <c r="A192" s="1409" t="s">
        <v>954</v>
      </c>
      <c r="B192" s="1410"/>
      <c r="C192" s="885">
        <f>+C185+C186+C187+C188+C189+C190+C191</f>
        <v>337591</v>
      </c>
      <c r="D192" s="886"/>
      <c r="E192" s="887"/>
      <c r="F192" s="888"/>
      <c r="G192" s="887"/>
      <c r="H192" s="889"/>
      <c r="I192" s="888"/>
      <c r="J192" s="887"/>
      <c r="K192" s="887"/>
      <c r="L192" s="888"/>
      <c r="M192" s="890"/>
    </row>
    <row r="193" spans="1:15" ht="16.5" customHeight="1">
      <c r="A193" s="1409" t="s">
        <v>955</v>
      </c>
      <c r="B193" s="1410"/>
      <c r="C193" s="885">
        <f>+C184+C192</f>
        <v>3783598</v>
      </c>
      <c r="D193" s="886"/>
      <c r="E193" s="887"/>
      <c r="F193" s="888"/>
      <c r="G193" s="887"/>
      <c r="H193" s="889"/>
      <c r="I193" s="888"/>
      <c r="J193" s="887"/>
      <c r="K193" s="887"/>
      <c r="L193" s="888"/>
      <c r="M193" s="890"/>
      <c r="N193" s="881">
        <f>C194*H178</f>
        <v>3783622.6</v>
      </c>
      <c r="O193" s="881">
        <f>C193-N193</f>
        <v>-24.600000000093132</v>
      </c>
    </row>
    <row r="194" spans="1:15" ht="16.5" customHeight="1">
      <c r="A194" s="1409" t="s">
        <v>956</v>
      </c>
      <c r="B194" s="1410"/>
      <c r="C194" s="885">
        <f>C176</f>
        <v>183671</v>
      </c>
      <c r="D194" s="886"/>
      <c r="E194" s="893"/>
      <c r="F194" s="888"/>
      <c r="G194" s="887"/>
      <c r="H194" s="889"/>
      <c r="I194" s="888"/>
      <c r="J194" s="887"/>
      <c r="K194" s="887"/>
      <c r="L194" s="888"/>
      <c r="M194" s="890"/>
    </row>
    <row r="195" spans="1:15" ht="16.5" customHeight="1">
      <c r="A195" s="1414"/>
      <c r="B195" s="1414"/>
      <c r="C195" s="882"/>
      <c r="D195" s="882"/>
      <c r="E195" s="882"/>
      <c r="F195" s="883"/>
      <c r="G195" s="882"/>
      <c r="H195" s="1415"/>
      <c r="I195" s="1415"/>
      <c r="J195" s="1415"/>
      <c r="K195" s="1415"/>
      <c r="L195" s="1415"/>
      <c r="M195" s="1415"/>
    </row>
    <row r="196" spans="1:15" ht="16.5" hidden="1" customHeight="1">
      <c r="A196" s="852"/>
      <c r="B196" s="852"/>
      <c r="C196" s="882"/>
      <c r="D196" s="882"/>
      <c r="E196" s="882"/>
      <c r="F196" s="883"/>
      <c r="G196" s="882"/>
      <c r="H196" s="902"/>
      <c r="I196" s="902"/>
      <c r="J196" s="902"/>
      <c r="K196" s="902"/>
      <c r="L196" s="902"/>
      <c r="M196" s="902"/>
    </row>
    <row r="197" spans="1:15" ht="16.5" hidden="1" customHeight="1">
      <c r="A197" s="852"/>
      <c r="B197" s="852"/>
      <c r="C197" s="882"/>
      <c r="D197" s="882"/>
      <c r="E197" s="882"/>
      <c r="F197" s="883"/>
      <c r="G197" s="882"/>
      <c r="H197" s="902"/>
      <c r="I197" s="902"/>
      <c r="J197" s="902"/>
      <c r="K197" s="902"/>
      <c r="L197" s="902"/>
      <c r="M197" s="902"/>
    </row>
    <row r="198" spans="1:15" ht="16.5" customHeight="1">
      <c r="A198" s="852"/>
      <c r="B198" s="852"/>
      <c r="C198" s="882"/>
      <c r="D198" s="882"/>
      <c r="E198" s="882"/>
      <c r="F198" s="883"/>
      <c r="G198" s="882"/>
      <c r="H198" s="902"/>
      <c r="I198" s="902"/>
      <c r="J198" s="902"/>
      <c r="K198" s="902"/>
      <c r="L198" s="902"/>
      <c r="M198" s="902"/>
    </row>
    <row r="199" spans="1:15" ht="16.5" customHeight="1">
      <c r="A199" s="851"/>
      <c r="B199" s="852"/>
      <c r="C199" s="852"/>
      <c r="D199" s="852"/>
      <c r="E199" s="852"/>
      <c r="F199" s="853"/>
      <c r="G199" s="852"/>
      <c r="H199" s="854"/>
      <c r="I199" s="853"/>
      <c r="J199" s="852"/>
      <c r="K199" s="852"/>
      <c r="L199" s="853"/>
      <c r="M199" s="854" t="s">
        <v>918</v>
      </c>
    </row>
    <row r="200" spans="1:15" ht="16.5" hidden="1" customHeight="1">
      <c r="A200" s="855"/>
    </row>
    <row r="201" spans="1:15" ht="16.5" customHeight="1">
      <c r="A201" s="1416" t="s">
        <v>919</v>
      </c>
      <c r="B201" s="1416"/>
      <c r="C201" s="856" t="s">
        <v>920</v>
      </c>
      <c r="D201" s="1417" t="s">
        <v>921</v>
      </c>
      <c r="E201" s="1418"/>
      <c r="F201" s="1418"/>
      <c r="G201" s="1418"/>
      <c r="H201" s="1418"/>
      <c r="I201" s="1418"/>
      <c r="J201" s="1418"/>
      <c r="K201" s="1418"/>
      <c r="L201" s="1418"/>
      <c r="M201" s="1419"/>
    </row>
    <row r="202" spans="1:15" ht="16.5" customHeight="1">
      <c r="A202" s="1420" t="s">
        <v>973</v>
      </c>
      <c r="B202" s="1421"/>
      <c r="C202" s="885">
        <f>엔지니어노임!P14</f>
        <v>84618</v>
      </c>
      <c r="D202" s="886"/>
      <c r="E202" s="887"/>
      <c r="F202" s="888"/>
      <c r="G202" s="887"/>
      <c r="H202" s="889"/>
      <c r="I202" s="888"/>
      <c r="J202" s="887"/>
      <c r="K202" s="887"/>
      <c r="L202" s="888"/>
      <c r="M202" s="904"/>
    </row>
    <row r="203" spans="1:15" ht="16.5" customHeight="1">
      <c r="A203" s="1409" t="s">
        <v>923</v>
      </c>
      <c r="B203" s="1410"/>
      <c r="C203" s="885">
        <f>TRUNC((C204+C206+C208)/209,0)</f>
        <v>12874</v>
      </c>
      <c r="D203" s="886"/>
      <c r="E203" s="893" t="s">
        <v>959</v>
      </c>
      <c r="F203" s="888"/>
      <c r="G203" s="887"/>
      <c r="H203" s="889"/>
      <c r="I203" s="888"/>
      <c r="J203" s="887"/>
      <c r="K203" s="887"/>
      <c r="L203" s="888"/>
      <c r="M203" s="890"/>
    </row>
    <row r="204" spans="1:15" ht="16.5" customHeight="1">
      <c r="A204" s="1411" t="s">
        <v>928</v>
      </c>
      <c r="B204" s="1412"/>
      <c r="C204" s="885">
        <f>TRUNC(E204*H204,0)</f>
        <v>1743130</v>
      </c>
      <c r="D204" s="886"/>
      <c r="E204" s="887">
        <v>84618</v>
      </c>
      <c r="F204" s="888" t="s">
        <v>929</v>
      </c>
      <c r="G204" s="894" t="s">
        <v>930</v>
      </c>
      <c r="H204" s="895">
        <v>20.6</v>
      </c>
      <c r="I204" s="888" t="s">
        <v>931</v>
      </c>
      <c r="J204" s="887"/>
      <c r="K204" s="887"/>
      <c r="L204" s="888"/>
      <c r="M204" s="890"/>
    </row>
    <row r="205" spans="1:15" ht="16.5" customHeight="1">
      <c r="A205" s="1411" t="s">
        <v>933</v>
      </c>
      <c r="B205" s="1412"/>
      <c r="C205" s="885">
        <f>TRUNC(C206+C207,0)</f>
        <v>495418</v>
      </c>
      <c r="D205" s="886"/>
      <c r="E205" s="887"/>
      <c r="F205" s="888"/>
      <c r="G205" s="887"/>
      <c r="H205" s="889"/>
      <c r="I205" s="888"/>
      <c r="J205" s="887"/>
      <c r="K205" s="887"/>
      <c r="L205" s="888"/>
      <c r="M205" s="890"/>
    </row>
    <row r="206" spans="1:15" ht="16.5" customHeight="1">
      <c r="A206" s="1409" t="s">
        <v>934</v>
      </c>
      <c r="B206" s="1410"/>
      <c r="C206" s="885">
        <f>TRUNC(E206*H206/K206,0)</f>
        <v>366678</v>
      </c>
      <c r="D206" s="886"/>
      <c r="E206" s="887">
        <f>E204</f>
        <v>84618</v>
      </c>
      <c r="F206" s="888" t="s">
        <v>929</v>
      </c>
      <c r="G206" s="894" t="s">
        <v>930</v>
      </c>
      <c r="H206" s="889">
        <v>52</v>
      </c>
      <c r="I206" s="888" t="s">
        <v>931</v>
      </c>
      <c r="J206" s="896" t="s">
        <v>935</v>
      </c>
      <c r="K206" s="887">
        <v>12</v>
      </c>
      <c r="L206" s="888" t="s">
        <v>936</v>
      </c>
      <c r="M206" s="890"/>
    </row>
    <row r="207" spans="1:15" ht="16.5" customHeight="1">
      <c r="A207" s="1409" t="s">
        <v>939</v>
      </c>
      <c r="B207" s="1410"/>
      <c r="C207" s="885">
        <f>TRUNC(E207*H207/K207,0)</f>
        <v>128740</v>
      </c>
      <c r="D207" s="886"/>
      <c r="E207" s="887">
        <f>C203*8</f>
        <v>102992</v>
      </c>
      <c r="F207" s="888" t="s">
        <v>929</v>
      </c>
      <c r="G207" s="894" t="s">
        <v>930</v>
      </c>
      <c r="H207" s="889">
        <v>15</v>
      </c>
      <c r="I207" s="846" t="s">
        <v>931</v>
      </c>
      <c r="J207" s="896" t="s">
        <v>935</v>
      </c>
      <c r="K207" s="887">
        <v>12</v>
      </c>
      <c r="L207" s="888" t="s">
        <v>936</v>
      </c>
      <c r="M207" s="890"/>
    </row>
    <row r="208" spans="1:15" ht="16.5" customHeight="1">
      <c r="A208" s="1411" t="s">
        <v>941</v>
      </c>
      <c r="B208" s="1412"/>
      <c r="C208" s="885">
        <f>TRUNC(E208*H208%/K208,0)</f>
        <v>581043</v>
      </c>
      <c r="D208" s="886"/>
      <c r="E208" s="887">
        <f>C204</f>
        <v>1743130</v>
      </c>
      <c r="F208" s="888" t="s">
        <v>929</v>
      </c>
      <c r="G208" s="894" t="s">
        <v>930</v>
      </c>
      <c r="H208" s="889">
        <v>400</v>
      </c>
      <c r="I208" s="888" t="s">
        <v>942</v>
      </c>
      <c r="J208" s="896" t="s">
        <v>935</v>
      </c>
      <c r="K208" s="887">
        <v>12</v>
      </c>
      <c r="L208" s="888" t="s">
        <v>936</v>
      </c>
      <c r="M208" s="890"/>
    </row>
    <row r="209" spans="1:27" ht="16.5" customHeight="1">
      <c r="A209" s="1411" t="s">
        <v>943</v>
      </c>
      <c r="B209" s="1412"/>
      <c r="C209" s="885">
        <f>TRUNC((C204+C205+C208)/12,0)</f>
        <v>234965</v>
      </c>
      <c r="D209" s="886"/>
      <c r="E209" s="1413" t="s">
        <v>960</v>
      </c>
      <c r="F209" s="1413"/>
      <c r="G209" s="1413"/>
      <c r="H209" s="1413"/>
      <c r="I209" s="1413"/>
      <c r="J209" s="1413"/>
      <c r="K209" s="1413"/>
      <c r="L209" s="1413"/>
      <c r="M209" s="890"/>
    </row>
    <row r="210" spans="1:27" ht="16.5" customHeight="1">
      <c r="A210" s="1409" t="s">
        <v>945</v>
      </c>
      <c r="B210" s="1410"/>
      <c r="C210" s="885">
        <f>+C204+C205+C208+C209</f>
        <v>3054556</v>
      </c>
      <c r="D210" s="886"/>
      <c r="E210" s="887"/>
      <c r="F210" s="888"/>
      <c r="G210" s="887"/>
      <c r="H210" s="889"/>
      <c r="I210" s="888"/>
      <c r="J210" s="887"/>
      <c r="K210" s="887"/>
      <c r="L210" s="888"/>
      <c r="M210" s="890"/>
      <c r="N210" s="897" t="s">
        <v>961</v>
      </c>
      <c r="O210" s="881">
        <f>C210</f>
        <v>3054556</v>
      </c>
      <c r="P210" s="898" t="s">
        <v>962</v>
      </c>
      <c r="Q210" s="897">
        <f>C209</f>
        <v>234965</v>
      </c>
      <c r="R210" s="898" t="s">
        <v>963</v>
      </c>
      <c r="S210" s="897">
        <f>O210-Q210</f>
        <v>2819591</v>
      </c>
      <c r="T210" s="848" t="s">
        <v>964</v>
      </c>
      <c r="U210" s="848" t="s">
        <v>965</v>
      </c>
      <c r="V210" s="898" t="s">
        <v>963</v>
      </c>
      <c r="W210" s="897">
        <f>S210*12</f>
        <v>33835092</v>
      </c>
    </row>
    <row r="211" spans="1:27" ht="16.5" customHeight="1">
      <c r="A211" s="1409" t="s">
        <v>946</v>
      </c>
      <c r="B211" s="1410"/>
      <c r="C211" s="885">
        <f>TRUNC(E211*H211%,0)</f>
        <v>126881</v>
      </c>
      <c r="D211" s="886"/>
      <c r="E211" s="887">
        <f>+C210-C209</f>
        <v>2819591</v>
      </c>
      <c r="F211" s="888" t="s">
        <v>929</v>
      </c>
      <c r="G211" s="894" t="s">
        <v>930</v>
      </c>
      <c r="H211" s="875">
        <f>보험료산정기준!$I$8</f>
        <v>4.5</v>
      </c>
      <c r="I211" s="888" t="s">
        <v>942</v>
      </c>
      <c r="J211" s="887"/>
      <c r="K211" s="887"/>
      <c r="L211" s="888"/>
      <c r="M211" s="890"/>
      <c r="N211" s="897">
        <f>C210*12</f>
        <v>36654672</v>
      </c>
      <c r="AA211" s="845">
        <v>5367981</v>
      </c>
    </row>
    <row r="212" spans="1:27" ht="16.5" customHeight="1">
      <c r="A212" s="1409" t="s">
        <v>947</v>
      </c>
      <c r="B212" s="1410"/>
      <c r="C212" s="885">
        <f t="shared" ref="C212:C217" si="8">TRUNC(E212*H212%,0)</f>
        <v>99954</v>
      </c>
      <c r="D212" s="886"/>
      <c r="E212" s="887">
        <f>E211</f>
        <v>2819591</v>
      </c>
      <c r="F212" s="888" t="s">
        <v>929</v>
      </c>
      <c r="G212" s="894" t="s">
        <v>930</v>
      </c>
      <c r="H212" s="878">
        <f>보험료산정기준!$I$10</f>
        <v>3.5449999999999999</v>
      </c>
      <c r="I212" s="888" t="s">
        <v>942</v>
      </c>
      <c r="J212" s="887"/>
      <c r="K212" s="887"/>
      <c r="L212" s="888"/>
      <c r="M212" s="890"/>
      <c r="AA212" s="845">
        <v>525880</v>
      </c>
    </row>
    <row r="213" spans="1:27" ht="16.5" customHeight="1">
      <c r="A213" s="1409" t="s">
        <v>948</v>
      </c>
      <c r="B213" s="1410"/>
      <c r="C213" s="885">
        <f t="shared" si="8"/>
        <v>25376</v>
      </c>
      <c r="D213" s="886"/>
      <c r="E213" s="887">
        <f>E211</f>
        <v>2819591</v>
      </c>
      <c r="F213" s="888" t="s">
        <v>929</v>
      </c>
      <c r="G213" s="894" t="s">
        <v>930</v>
      </c>
      <c r="H213" s="875">
        <f>보험료산정기준!$I$7</f>
        <v>0.9</v>
      </c>
      <c r="I213" s="888" t="s">
        <v>942</v>
      </c>
      <c r="J213" s="887"/>
      <c r="K213" s="887"/>
      <c r="L213" s="888"/>
      <c r="M213" s="890"/>
      <c r="AA213" s="845">
        <f>AA211-AA212</f>
        <v>4842101</v>
      </c>
    </row>
    <row r="214" spans="1:27" ht="16.5" customHeight="1">
      <c r="A214" s="1409" t="s">
        <v>949</v>
      </c>
      <c r="B214" s="1410"/>
      <c r="C214" s="885">
        <f t="shared" si="8"/>
        <v>32425</v>
      </c>
      <c r="D214" s="886"/>
      <c r="E214" s="887">
        <f>E211</f>
        <v>2819591</v>
      </c>
      <c r="F214" s="888" t="s">
        <v>929</v>
      </c>
      <c r="G214" s="894" t="s">
        <v>930</v>
      </c>
      <c r="H214" s="875">
        <f>보험료산정기준!$I$9</f>
        <v>1.1499999999999999</v>
      </c>
      <c r="I214" s="888" t="s">
        <v>942</v>
      </c>
      <c r="J214" s="887"/>
      <c r="K214" s="887"/>
      <c r="L214" s="888"/>
      <c r="M214" s="890"/>
    </row>
    <row r="215" spans="1:27" ht="16.5" customHeight="1">
      <c r="A215" s="1409" t="s">
        <v>951</v>
      </c>
      <c r="B215" s="1410"/>
      <c r="C215" s="885">
        <f t="shared" si="8"/>
        <v>12804</v>
      </c>
      <c r="D215" s="886"/>
      <c r="E215" s="887">
        <f>C212</f>
        <v>99954</v>
      </c>
      <c r="F215" s="888" t="s">
        <v>929</v>
      </c>
      <c r="G215" s="894" t="s">
        <v>930</v>
      </c>
      <c r="H215" s="875">
        <f>보험료산정기준!$I$11</f>
        <v>12.81</v>
      </c>
      <c r="I215" s="888" t="s">
        <v>942</v>
      </c>
      <c r="J215" s="887"/>
      <c r="K215" s="887"/>
      <c r="L215" s="888"/>
      <c r="M215" s="890"/>
      <c r="N215" s="899" t="s">
        <v>966</v>
      </c>
      <c r="O215" s="900">
        <f>E215</f>
        <v>99954</v>
      </c>
      <c r="P215" s="848" t="s">
        <v>964</v>
      </c>
      <c r="Q215" s="848" t="s">
        <v>965</v>
      </c>
      <c r="R215" s="898" t="s">
        <v>963</v>
      </c>
      <c r="S215" s="897">
        <f>O215*12</f>
        <v>1199448</v>
      </c>
    </row>
    <row r="216" spans="1:27" ht="16.5" customHeight="1">
      <c r="A216" s="1409" t="s">
        <v>952</v>
      </c>
      <c r="B216" s="1410"/>
      <c r="C216" s="885">
        <f t="shared" si="8"/>
        <v>1691</v>
      </c>
      <c r="D216" s="886"/>
      <c r="E216" s="887">
        <f>E211</f>
        <v>2819591</v>
      </c>
      <c r="F216" s="888" t="s">
        <v>929</v>
      </c>
      <c r="G216" s="894" t="s">
        <v>930</v>
      </c>
      <c r="H216" s="875">
        <f>보험료산정기준!$I$12</f>
        <v>0.06</v>
      </c>
      <c r="I216" s="888" t="s">
        <v>942</v>
      </c>
      <c r="J216" s="887"/>
      <c r="K216" s="887"/>
      <c r="L216" s="888"/>
      <c r="M216" s="890"/>
    </row>
    <row r="217" spans="1:27" ht="16.5" customHeight="1">
      <c r="A217" s="1409" t="s">
        <v>953</v>
      </c>
      <c r="B217" s="1410"/>
      <c r="C217" s="885">
        <f t="shared" si="8"/>
        <v>112</v>
      </c>
      <c r="D217" s="886"/>
      <c r="E217" s="887">
        <f>E211</f>
        <v>2819591</v>
      </c>
      <c r="F217" s="888" t="s">
        <v>929</v>
      </c>
      <c r="G217" s="894" t="s">
        <v>930</v>
      </c>
      <c r="H217" s="878">
        <f>보험료산정기준!$I$13</f>
        <v>4.0000000000000001E-3</v>
      </c>
      <c r="I217" s="888" t="s">
        <v>942</v>
      </c>
      <c r="J217" s="887"/>
      <c r="K217" s="887"/>
      <c r="L217" s="888"/>
      <c r="M217" s="890"/>
    </row>
    <row r="218" spans="1:27" ht="16.5" customHeight="1">
      <c r="A218" s="1409" t="s">
        <v>954</v>
      </c>
      <c r="B218" s="1410"/>
      <c r="C218" s="885">
        <f>+C211+C212+C213+C214+C215+C216+C217</f>
        <v>299243</v>
      </c>
      <c r="D218" s="886"/>
      <c r="E218" s="887"/>
      <c r="F218" s="888"/>
      <c r="G218" s="887"/>
      <c r="H218" s="889"/>
      <c r="I218" s="888"/>
      <c r="J218" s="887"/>
      <c r="K218" s="887"/>
      <c r="L218" s="888"/>
      <c r="M218" s="890"/>
    </row>
    <row r="219" spans="1:27" ht="16.5" customHeight="1">
      <c r="A219" s="1409" t="s">
        <v>955</v>
      </c>
      <c r="B219" s="1410"/>
      <c r="C219" s="885">
        <f>+C210+C218</f>
        <v>3353799</v>
      </c>
      <c r="D219" s="886"/>
      <c r="E219" s="887"/>
      <c r="F219" s="888"/>
      <c r="G219" s="887"/>
      <c r="H219" s="889"/>
      <c r="I219" s="888"/>
      <c r="J219" s="887"/>
      <c r="K219" s="887"/>
      <c r="L219" s="888"/>
      <c r="M219" s="890"/>
      <c r="N219" s="881">
        <f>C220*H204</f>
        <v>1743130.8</v>
      </c>
      <c r="O219" s="1408">
        <f>C219-N219</f>
        <v>1610668.2</v>
      </c>
      <c r="P219" s="1408"/>
    </row>
    <row r="220" spans="1:27" ht="16.5" customHeight="1">
      <c r="A220" s="1409" t="s">
        <v>956</v>
      </c>
      <c r="B220" s="1410"/>
      <c r="C220" s="885">
        <f>C202</f>
        <v>84618</v>
      </c>
      <c r="D220" s="886"/>
      <c r="E220" s="893"/>
      <c r="F220" s="888"/>
      <c r="G220" s="887"/>
      <c r="H220" s="889"/>
      <c r="I220" s="888"/>
      <c r="J220" s="887"/>
      <c r="K220" s="887"/>
      <c r="L220" s="888"/>
      <c r="M220" s="890"/>
    </row>
    <row r="221" spans="1:27" ht="16.5" customHeight="1"/>
    <row r="222" spans="1:27" ht="16.5" customHeight="1">
      <c r="A222" s="848" t="s">
        <v>974</v>
      </c>
      <c r="B222" s="848" t="s">
        <v>975</v>
      </c>
      <c r="C222" s="897">
        <f>+C38+C63+C86+C112+C135+C161+C184+C210</f>
        <v>35103826</v>
      </c>
      <c r="D222" s="848"/>
    </row>
    <row r="223" spans="1:27">
      <c r="A223" s="848" t="s">
        <v>974</v>
      </c>
      <c r="B223" s="848" t="s">
        <v>976</v>
      </c>
      <c r="C223" s="897">
        <f>+C46+C71+C94+C120+C143+C169+C192+C218</f>
        <v>3438993</v>
      </c>
      <c r="D223" s="848"/>
    </row>
    <row r="224" spans="1:27">
      <c r="A224" s="848" t="s">
        <v>974</v>
      </c>
      <c r="B224" s="848" t="s">
        <v>977</v>
      </c>
      <c r="C224" s="897">
        <f>+C47+C72+C95+C121+C144+C170+C193+C219</f>
        <v>38542819</v>
      </c>
      <c r="D224" s="848"/>
    </row>
    <row r="228" spans="1:13">
      <c r="A228" s="1416" t="s">
        <v>919</v>
      </c>
      <c r="B228" s="1416"/>
      <c r="C228" s="856" t="s">
        <v>920</v>
      </c>
      <c r="D228" s="1417" t="s">
        <v>921</v>
      </c>
      <c r="E228" s="1418"/>
      <c r="F228" s="1418"/>
      <c r="G228" s="1418"/>
      <c r="H228" s="1418"/>
      <c r="I228" s="1418"/>
      <c r="J228" s="1418"/>
      <c r="K228" s="1418"/>
      <c r="L228" s="1418"/>
      <c r="M228" s="1419"/>
    </row>
    <row r="229" spans="1:13">
      <c r="A229" s="1420" t="s">
        <v>973</v>
      </c>
      <c r="B229" s="1421"/>
      <c r="C229" s="885">
        <v>86303</v>
      </c>
      <c r="D229" s="886"/>
      <c r="E229" s="887"/>
      <c r="F229" s="888"/>
      <c r="G229" s="887"/>
      <c r="H229" s="889"/>
      <c r="I229" s="888"/>
      <c r="J229" s="887"/>
      <c r="K229" s="887"/>
      <c r="L229" s="888"/>
      <c r="M229" s="904"/>
    </row>
    <row r="230" spans="1:13">
      <c r="A230" s="1409" t="s">
        <v>923</v>
      </c>
      <c r="B230" s="1410"/>
      <c r="C230" s="885">
        <v>10787</v>
      </c>
      <c r="D230" s="886"/>
      <c r="E230" s="893" t="s">
        <v>959</v>
      </c>
      <c r="F230" s="888"/>
      <c r="G230" s="887"/>
      <c r="H230" s="889"/>
      <c r="I230" s="888"/>
      <c r="J230" s="887"/>
      <c r="K230" s="887"/>
      <c r="L230" s="888"/>
      <c r="M230" s="890"/>
    </row>
    <row r="231" spans="1:13">
      <c r="A231" s="1411" t="s">
        <v>928</v>
      </c>
      <c r="B231" s="1412"/>
      <c r="C231" s="885">
        <f>TRUNC(E231*H231,0)</f>
        <v>18037327</v>
      </c>
      <c r="D231" s="886"/>
      <c r="E231" s="887">
        <v>86303</v>
      </c>
      <c r="F231" s="888" t="s">
        <v>929</v>
      </c>
      <c r="G231" s="894" t="s">
        <v>930</v>
      </c>
      <c r="H231" s="895">
        <v>209</v>
      </c>
      <c r="I231" s="888" t="s">
        <v>931</v>
      </c>
      <c r="J231" s="887"/>
      <c r="K231" s="887"/>
      <c r="L231" s="888"/>
      <c r="M231" s="890"/>
    </row>
    <row r="232" spans="1:13">
      <c r="A232" s="1411" t="s">
        <v>933</v>
      </c>
      <c r="B232" s="1412"/>
      <c r="C232" s="885">
        <f>C233+C234</f>
        <v>107870</v>
      </c>
      <c r="D232" s="886"/>
      <c r="E232" s="887"/>
      <c r="F232" s="888"/>
      <c r="G232" s="887"/>
      <c r="H232" s="889"/>
      <c r="I232" s="888"/>
      <c r="J232" s="887"/>
      <c r="K232" s="887"/>
      <c r="L232" s="888"/>
      <c r="M232" s="890"/>
    </row>
    <row r="233" spans="1:13">
      <c r="A233" s="1409" t="s">
        <v>934</v>
      </c>
      <c r="B233" s="1410"/>
      <c r="C233" s="885">
        <v>0</v>
      </c>
      <c r="D233" s="886"/>
      <c r="E233" s="887">
        <f>E231</f>
        <v>86303</v>
      </c>
      <c r="F233" s="888" t="s">
        <v>929</v>
      </c>
      <c r="G233" s="894" t="s">
        <v>930</v>
      </c>
      <c r="H233" s="889">
        <v>52</v>
      </c>
      <c r="I233" s="888" t="s">
        <v>931</v>
      </c>
      <c r="J233" s="896" t="s">
        <v>935</v>
      </c>
      <c r="K233" s="887">
        <v>12</v>
      </c>
      <c r="L233" s="888" t="s">
        <v>936</v>
      </c>
      <c r="M233" s="890"/>
    </row>
    <row r="234" spans="1:13">
      <c r="A234" s="1409" t="s">
        <v>939</v>
      </c>
      <c r="B234" s="1410"/>
      <c r="C234" s="885">
        <f>TRUNC(E234*H234/K234,0)</f>
        <v>107870</v>
      </c>
      <c r="D234" s="886"/>
      <c r="E234" s="887">
        <f>C230*8</f>
        <v>86296</v>
      </c>
      <c r="F234" s="888" t="s">
        <v>929</v>
      </c>
      <c r="G234" s="894" t="s">
        <v>930</v>
      </c>
      <c r="H234" s="889">
        <v>15</v>
      </c>
      <c r="I234" s="846" t="s">
        <v>931</v>
      </c>
      <c r="J234" s="896" t="s">
        <v>935</v>
      </c>
      <c r="K234" s="887">
        <v>12</v>
      </c>
      <c r="L234" s="888" t="s">
        <v>936</v>
      </c>
      <c r="M234" s="890"/>
    </row>
    <row r="235" spans="1:13">
      <c r="A235" s="1411" t="s">
        <v>941</v>
      </c>
      <c r="B235" s="1412"/>
      <c r="C235" s="885">
        <f>TRUNC(E235*H235%/K235,0)</f>
        <v>6012442</v>
      </c>
      <c r="D235" s="886"/>
      <c r="E235" s="887">
        <f>C231</f>
        <v>18037327</v>
      </c>
      <c r="F235" s="888" t="s">
        <v>929</v>
      </c>
      <c r="G235" s="894" t="s">
        <v>930</v>
      </c>
      <c r="H235" s="889">
        <v>400</v>
      </c>
      <c r="I235" s="888" t="s">
        <v>942</v>
      </c>
      <c r="J235" s="896" t="s">
        <v>935</v>
      </c>
      <c r="K235" s="887">
        <v>12</v>
      </c>
      <c r="L235" s="888" t="s">
        <v>936</v>
      </c>
      <c r="M235" s="890"/>
    </row>
    <row r="236" spans="1:13">
      <c r="A236" s="1411" t="s">
        <v>943</v>
      </c>
      <c r="B236" s="1412"/>
      <c r="C236" s="885">
        <f>TRUNC((C231+C232+C235)/12,0)</f>
        <v>2013136</v>
      </c>
      <c r="D236" s="886"/>
      <c r="E236" s="1413" t="s">
        <v>960</v>
      </c>
      <c r="F236" s="1413"/>
      <c r="G236" s="1413"/>
      <c r="H236" s="1413"/>
      <c r="I236" s="1413"/>
      <c r="J236" s="1413"/>
      <c r="K236" s="1413"/>
      <c r="L236" s="1413"/>
      <c r="M236" s="890"/>
    </row>
    <row r="237" spans="1:13">
      <c r="A237" s="1409" t="s">
        <v>945</v>
      </c>
      <c r="B237" s="1410"/>
      <c r="C237" s="885">
        <f>+C231+C232+C235+C236</f>
        <v>26170775</v>
      </c>
      <c r="D237" s="886"/>
      <c r="E237" s="887"/>
      <c r="F237" s="888"/>
      <c r="G237" s="887"/>
      <c r="H237" s="889"/>
      <c r="I237" s="888"/>
      <c r="J237" s="887"/>
      <c r="K237" s="887"/>
      <c r="L237" s="888"/>
      <c r="M237" s="890"/>
    </row>
    <row r="238" spans="1:13">
      <c r="A238" s="1409" t="s">
        <v>946</v>
      </c>
      <c r="B238" s="1410"/>
      <c r="C238" s="885">
        <f>TRUNC(E238*H238%,0)</f>
        <v>1087093</v>
      </c>
      <c r="D238" s="886"/>
      <c r="E238" s="887">
        <f>C231+C235+C232</f>
        <v>24157639</v>
      </c>
      <c r="F238" s="888" t="s">
        <v>929</v>
      </c>
      <c r="G238" s="894" t="s">
        <v>930</v>
      </c>
      <c r="H238" s="875">
        <f>보험료산정기준!$I$8</f>
        <v>4.5</v>
      </c>
      <c r="I238" s="888" t="s">
        <v>942</v>
      </c>
      <c r="J238" s="887"/>
      <c r="K238" s="887"/>
      <c r="L238" s="888"/>
      <c r="M238" s="890"/>
    </row>
    <row r="239" spans="1:13">
      <c r="A239" s="1409" t="s">
        <v>947</v>
      </c>
      <c r="B239" s="1410"/>
      <c r="C239" s="885">
        <f t="shared" ref="C239:C244" si="9">TRUNC(E239*H239%,0)</f>
        <v>856388</v>
      </c>
      <c r="D239" s="886"/>
      <c r="E239" s="887">
        <f>E238</f>
        <v>24157639</v>
      </c>
      <c r="F239" s="888" t="s">
        <v>929</v>
      </c>
      <c r="G239" s="894" t="s">
        <v>930</v>
      </c>
      <c r="H239" s="878">
        <f>보험료산정기준!$I$10</f>
        <v>3.5449999999999999</v>
      </c>
      <c r="I239" s="888" t="s">
        <v>942</v>
      </c>
      <c r="J239" s="887"/>
      <c r="K239" s="887"/>
      <c r="L239" s="888"/>
      <c r="M239" s="890"/>
    </row>
    <row r="240" spans="1:13">
      <c r="A240" s="1409" t="s">
        <v>948</v>
      </c>
      <c r="B240" s="1410"/>
      <c r="C240" s="885">
        <f t="shared" si="9"/>
        <v>217418</v>
      </c>
      <c r="D240" s="886"/>
      <c r="E240" s="887">
        <f>E238</f>
        <v>24157639</v>
      </c>
      <c r="F240" s="888" t="s">
        <v>929</v>
      </c>
      <c r="G240" s="894" t="s">
        <v>930</v>
      </c>
      <c r="H240" s="875">
        <f>보험료산정기준!$I$7</f>
        <v>0.9</v>
      </c>
      <c r="I240" s="888" t="s">
        <v>942</v>
      </c>
      <c r="J240" s="887"/>
      <c r="K240" s="887"/>
      <c r="L240" s="888"/>
      <c r="M240" s="890"/>
    </row>
    <row r="241" spans="1:17">
      <c r="A241" s="1409" t="s">
        <v>949</v>
      </c>
      <c r="B241" s="1410"/>
      <c r="C241" s="885">
        <f t="shared" si="9"/>
        <v>277812</v>
      </c>
      <c r="D241" s="886"/>
      <c r="E241" s="887">
        <f>E238</f>
        <v>24157639</v>
      </c>
      <c r="F241" s="888" t="s">
        <v>929</v>
      </c>
      <c r="G241" s="894" t="s">
        <v>930</v>
      </c>
      <c r="H241" s="875">
        <f>보험료산정기준!$I$9</f>
        <v>1.1499999999999999</v>
      </c>
      <c r="I241" s="888" t="s">
        <v>942</v>
      </c>
      <c r="J241" s="887"/>
      <c r="K241" s="887"/>
      <c r="L241" s="888"/>
      <c r="M241" s="890"/>
    </row>
    <row r="242" spans="1:17">
      <c r="A242" s="1409" t="s">
        <v>951</v>
      </c>
      <c r="B242" s="1410"/>
      <c r="C242" s="885">
        <f t="shared" si="9"/>
        <v>109703</v>
      </c>
      <c r="D242" s="886"/>
      <c r="E242" s="887">
        <f>C239</f>
        <v>856388</v>
      </c>
      <c r="F242" s="888" t="s">
        <v>929</v>
      </c>
      <c r="G242" s="894" t="s">
        <v>930</v>
      </c>
      <c r="H242" s="875">
        <f>보험료산정기준!$I$11</f>
        <v>12.81</v>
      </c>
      <c r="I242" s="888" t="s">
        <v>942</v>
      </c>
      <c r="J242" s="887"/>
      <c r="K242" s="887"/>
      <c r="L242" s="888"/>
      <c r="M242" s="890"/>
    </row>
    <row r="243" spans="1:17">
      <c r="A243" s="1409" t="s">
        <v>952</v>
      </c>
      <c r="B243" s="1410"/>
      <c r="C243" s="885">
        <f t="shared" si="9"/>
        <v>14494</v>
      </c>
      <c r="D243" s="886"/>
      <c r="E243" s="887">
        <f>E238</f>
        <v>24157639</v>
      </c>
      <c r="F243" s="888" t="s">
        <v>929</v>
      </c>
      <c r="G243" s="894" t="s">
        <v>930</v>
      </c>
      <c r="H243" s="875">
        <f>보험료산정기준!$I$12</f>
        <v>0.06</v>
      </c>
      <c r="I243" s="888" t="s">
        <v>942</v>
      </c>
      <c r="J243" s="887"/>
      <c r="K243" s="887"/>
      <c r="L243" s="888"/>
      <c r="M243" s="890"/>
    </row>
    <row r="244" spans="1:17">
      <c r="A244" s="1409" t="s">
        <v>953</v>
      </c>
      <c r="B244" s="1410"/>
      <c r="C244" s="885">
        <f t="shared" si="9"/>
        <v>966</v>
      </c>
      <c r="D244" s="886"/>
      <c r="E244" s="887">
        <f>E238</f>
        <v>24157639</v>
      </c>
      <c r="F244" s="888" t="s">
        <v>929</v>
      </c>
      <c r="G244" s="894" t="s">
        <v>930</v>
      </c>
      <c r="H244" s="878">
        <f>보험료산정기준!$I$13</f>
        <v>4.0000000000000001E-3</v>
      </c>
      <c r="I244" s="888" t="s">
        <v>942</v>
      </c>
      <c r="J244" s="887"/>
      <c r="K244" s="887"/>
      <c r="L244" s="888"/>
      <c r="M244" s="890"/>
    </row>
    <row r="245" spans="1:17">
      <c r="A245" s="1409" t="s">
        <v>954</v>
      </c>
      <c r="B245" s="1410"/>
      <c r="C245" s="885">
        <f>+C238+C239+C240+C241+C242+C243+C244</f>
        <v>2563874</v>
      </c>
      <c r="D245" s="886"/>
      <c r="E245" s="887"/>
      <c r="F245" s="888"/>
      <c r="G245" s="887"/>
      <c r="H245" s="889"/>
      <c r="I245" s="888"/>
      <c r="J245" s="887"/>
      <c r="K245" s="887"/>
      <c r="L245" s="888"/>
      <c r="M245" s="890"/>
    </row>
    <row r="246" spans="1:17">
      <c r="A246" s="1409" t="s">
        <v>955</v>
      </c>
      <c r="B246" s="1410"/>
      <c r="C246" s="885">
        <f>+C237+C245</f>
        <v>28734649</v>
      </c>
      <c r="D246" s="886"/>
      <c r="E246" s="887"/>
      <c r="F246" s="888"/>
      <c r="G246" s="887"/>
      <c r="H246" s="889"/>
      <c r="I246" s="888"/>
      <c r="J246" s="887"/>
      <c r="K246" s="887"/>
      <c r="L246" s="888"/>
      <c r="M246" s="890"/>
      <c r="N246" s="1252">
        <f>C247*H231</f>
        <v>18037327</v>
      </c>
      <c r="O246" s="881">
        <f>C246-N246</f>
        <v>10697322</v>
      </c>
      <c r="Q246" s="1252">
        <f>C246/H231</f>
        <v>137486.35885167465</v>
      </c>
    </row>
    <row r="247" spans="1:17">
      <c r="A247" s="1409" t="s">
        <v>956</v>
      </c>
      <c r="B247" s="1410"/>
      <c r="C247" s="885">
        <f>C229</f>
        <v>86303</v>
      </c>
      <c r="D247" s="886"/>
      <c r="E247" s="893"/>
      <c r="F247" s="888"/>
      <c r="G247" s="887"/>
      <c r="H247" s="889"/>
      <c r="I247" s="888"/>
      <c r="J247" s="887"/>
      <c r="K247" s="887"/>
      <c r="L247" s="888"/>
      <c r="M247" s="890"/>
    </row>
    <row r="248" spans="1:17">
      <c r="N248" s="848">
        <f>C229*H231</f>
        <v>18037327</v>
      </c>
    </row>
  </sheetData>
  <mergeCells count="240">
    <mergeCell ref="A244:B244"/>
    <mergeCell ref="A245:B245"/>
    <mergeCell ref="A246:B246"/>
    <mergeCell ref="A247:B247"/>
    <mergeCell ref="A236:B236"/>
    <mergeCell ref="E236:L236"/>
    <mergeCell ref="A237:B237"/>
    <mergeCell ref="A238:B238"/>
    <mergeCell ref="A239:B239"/>
    <mergeCell ref="A240:B240"/>
    <mergeCell ref="A241:B241"/>
    <mergeCell ref="A242:B242"/>
    <mergeCell ref="A243:B243"/>
    <mergeCell ref="A228:B228"/>
    <mergeCell ref="D228:M228"/>
    <mergeCell ref="A229:B229"/>
    <mergeCell ref="A230:B230"/>
    <mergeCell ref="A231:B231"/>
    <mergeCell ref="A232:B232"/>
    <mergeCell ref="A233:B233"/>
    <mergeCell ref="A234:B234"/>
    <mergeCell ref="A235:B235"/>
    <mergeCell ref="A11:B11"/>
    <mergeCell ref="A12:B12"/>
    <mergeCell ref="A13:B13"/>
    <mergeCell ref="A14:B14"/>
    <mergeCell ref="A15:B15"/>
    <mergeCell ref="E15:L15"/>
    <mergeCell ref="A3:M3"/>
    <mergeCell ref="A7:B7"/>
    <mergeCell ref="D7:M7"/>
    <mergeCell ref="A8:B8"/>
    <mergeCell ref="A9:B9"/>
    <mergeCell ref="A10:B10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31:B31"/>
    <mergeCell ref="A32:B32"/>
    <mergeCell ref="A33:B33"/>
    <mergeCell ref="A34:B34"/>
    <mergeCell ref="A35:B35"/>
    <mergeCell ref="A36:B36"/>
    <mergeCell ref="H27:M27"/>
    <mergeCell ref="A28:B28"/>
    <mergeCell ref="H28:M28"/>
    <mergeCell ref="A29:B29"/>
    <mergeCell ref="D29:M29"/>
    <mergeCell ref="A30:B30"/>
    <mergeCell ref="A42:B42"/>
    <mergeCell ref="A43:B43"/>
    <mergeCell ref="A44:B44"/>
    <mergeCell ref="A45:B45"/>
    <mergeCell ref="A46:B46"/>
    <mergeCell ref="A47:B47"/>
    <mergeCell ref="A37:B37"/>
    <mergeCell ref="E37:L37"/>
    <mergeCell ref="A38:B38"/>
    <mergeCell ref="A39:B39"/>
    <mergeCell ref="A40:B40"/>
    <mergeCell ref="A41:B41"/>
    <mergeCell ref="A56:B56"/>
    <mergeCell ref="A57:B57"/>
    <mergeCell ref="A58:B58"/>
    <mergeCell ref="A59:B59"/>
    <mergeCell ref="A60:B60"/>
    <mergeCell ref="A61:B61"/>
    <mergeCell ref="A48:B48"/>
    <mergeCell ref="A49:B49"/>
    <mergeCell ref="H49:M49"/>
    <mergeCell ref="A54:B54"/>
    <mergeCell ref="D54:M54"/>
    <mergeCell ref="A55:B55"/>
    <mergeCell ref="A67:B67"/>
    <mergeCell ref="A68:B68"/>
    <mergeCell ref="A69:B69"/>
    <mergeCell ref="A70:B70"/>
    <mergeCell ref="A71:B71"/>
    <mergeCell ref="A72:B72"/>
    <mergeCell ref="A62:B62"/>
    <mergeCell ref="E62:L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H74:M74"/>
    <mergeCell ref="A77:B77"/>
    <mergeCell ref="D77:M77"/>
    <mergeCell ref="A78:B78"/>
    <mergeCell ref="A90:B90"/>
    <mergeCell ref="A91:B91"/>
    <mergeCell ref="A92:B92"/>
    <mergeCell ref="A93:B93"/>
    <mergeCell ref="A94:B94"/>
    <mergeCell ref="A95:B95"/>
    <mergeCell ref="A85:B85"/>
    <mergeCell ref="E85:L85"/>
    <mergeCell ref="A86:B86"/>
    <mergeCell ref="A87:B87"/>
    <mergeCell ref="A88:B88"/>
    <mergeCell ref="A89:B89"/>
    <mergeCell ref="A105:B105"/>
    <mergeCell ref="A106:B106"/>
    <mergeCell ref="A107:B107"/>
    <mergeCell ref="A108:B108"/>
    <mergeCell ref="A109:B109"/>
    <mergeCell ref="A110:B110"/>
    <mergeCell ref="A96:B96"/>
    <mergeCell ref="A98:B98"/>
    <mergeCell ref="H98:M98"/>
    <mergeCell ref="A103:B103"/>
    <mergeCell ref="D103:M103"/>
    <mergeCell ref="A104:B104"/>
    <mergeCell ref="A116:B116"/>
    <mergeCell ref="A117:B117"/>
    <mergeCell ref="A118:B118"/>
    <mergeCell ref="A119:B119"/>
    <mergeCell ref="A120:B120"/>
    <mergeCell ref="A121:B121"/>
    <mergeCell ref="A111:B111"/>
    <mergeCell ref="E111:L111"/>
    <mergeCell ref="A112:B112"/>
    <mergeCell ref="A113:B113"/>
    <mergeCell ref="A114:B114"/>
    <mergeCell ref="A115:B115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H123:M123"/>
    <mergeCell ref="A126:B126"/>
    <mergeCell ref="D126:M126"/>
    <mergeCell ref="A127:B127"/>
    <mergeCell ref="A139:B139"/>
    <mergeCell ref="A140:B140"/>
    <mergeCell ref="A141:B141"/>
    <mergeCell ref="A142:B142"/>
    <mergeCell ref="A143:B143"/>
    <mergeCell ref="A144:B144"/>
    <mergeCell ref="A134:B134"/>
    <mergeCell ref="E134:L134"/>
    <mergeCell ref="A135:B135"/>
    <mergeCell ref="A136:B136"/>
    <mergeCell ref="A137:B137"/>
    <mergeCell ref="A138:B138"/>
    <mergeCell ref="A154:B154"/>
    <mergeCell ref="A155:B155"/>
    <mergeCell ref="A156:B156"/>
    <mergeCell ref="A157:B157"/>
    <mergeCell ref="A158:B158"/>
    <mergeCell ref="A159:B159"/>
    <mergeCell ref="A145:B145"/>
    <mergeCell ref="A146:B146"/>
    <mergeCell ref="H146:M146"/>
    <mergeCell ref="A152:B152"/>
    <mergeCell ref="D152:M152"/>
    <mergeCell ref="A153:B153"/>
    <mergeCell ref="A165:B165"/>
    <mergeCell ref="A166:B166"/>
    <mergeCell ref="A167:B167"/>
    <mergeCell ref="A168:B168"/>
    <mergeCell ref="A169:B169"/>
    <mergeCell ref="A170:B170"/>
    <mergeCell ref="A160:B160"/>
    <mergeCell ref="E160:L160"/>
    <mergeCell ref="A161:B161"/>
    <mergeCell ref="A162:B162"/>
    <mergeCell ref="A163:B163"/>
    <mergeCell ref="A164:B164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H172:M172"/>
    <mergeCell ref="A175:B175"/>
    <mergeCell ref="D175:M175"/>
    <mergeCell ref="A176:B176"/>
    <mergeCell ref="A188:B188"/>
    <mergeCell ref="A189:B189"/>
    <mergeCell ref="A190:B190"/>
    <mergeCell ref="A191:B191"/>
    <mergeCell ref="A192:B192"/>
    <mergeCell ref="A193:B193"/>
    <mergeCell ref="A183:B183"/>
    <mergeCell ref="E183:L183"/>
    <mergeCell ref="A184:B184"/>
    <mergeCell ref="A185:B185"/>
    <mergeCell ref="A186:B186"/>
    <mergeCell ref="A187:B187"/>
    <mergeCell ref="A203:B203"/>
    <mergeCell ref="A204:B204"/>
    <mergeCell ref="A205:B205"/>
    <mergeCell ref="A206:B206"/>
    <mergeCell ref="A207:B207"/>
    <mergeCell ref="A208:B208"/>
    <mergeCell ref="A194:B194"/>
    <mergeCell ref="A195:B195"/>
    <mergeCell ref="H195:M195"/>
    <mergeCell ref="A201:B201"/>
    <mergeCell ref="D201:M201"/>
    <mergeCell ref="A202:B202"/>
    <mergeCell ref="O219:P219"/>
    <mergeCell ref="A220:B220"/>
    <mergeCell ref="A214:B214"/>
    <mergeCell ref="A215:B215"/>
    <mergeCell ref="A216:B216"/>
    <mergeCell ref="A217:B217"/>
    <mergeCell ref="A218:B218"/>
    <mergeCell ref="A219:B219"/>
    <mergeCell ref="A209:B209"/>
    <mergeCell ref="E209:L209"/>
    <mergeCell ref="A210:B210"/>
    <mergeCell ref="A211:B211"/>
    <mergeCell ref="A212:B212"/>
    <mergeCell ref="A213:B2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view="pageBreakPreview" topLeftCell="A2" zoomScale="85" zoomScaleNormal="85" zoomScaleSheetLayoutView="85" workbookViewId="0">
      <selection activeCell="N13" sqref="N13"/>
    </sheetView>
  </sheetViews>
  <sheetFormatPr defaultRowHeight="12"/>
  <cols>
    <col min="1" max="1" width="5.77734375" style="34" customWidth="1"/>
    <col min="2" max="2" width="1" style="34" customWidth="1"/>
    <col min="3" max="3" width="16.5546875" style="34" bestFit="1" customWidth="1"/>
    <col min="4" max="4" width="1" style="34" customWidth="1"/>
    <col min="5" max="5" width="26.6640625" style="34" bestFit="1" customWidth="1"/>
    <col min="6" max="6" width="89" style="34" customWidth="1"/>
    <col min="7" max="7" width="26.33203125" style="34" customWidth="1"/>
    <col min="8" max="8" width="10.33203125" style="34" bestFit="1" customWidth="1"/>
    <col min="9" max="9" width="8.88671875" style="34" customWidth="1"/>
    <col min="10" max="10" width="8.88671875" style="260"/>
    <col min="11" max="16384" width="8.88671875" style="34"/>
  </cols>
  <sheetData>
    <row r="1" spans="1:10" ht="20.100000000000001" customHeight="1">
      <c r="A1" s="1" t="str">
        <f>"[ 표 : "&amp;I1&amp;" ] "</f>
        <v xml:space="preserve">[ 표 : 11 ] </v>
      </c>
      <c r="B1" s="1"/>
      <c r="C1" s="1"/>
      <c r="D1" s="1"/>
      <c r="I1" s="34">
        <v>11</v>
      </c>
    </row>
    <row r="2" spans="1:10" s="36" customFormat="1" ht="42" customHeight="1">
      <c r="A2" s="35" t="s">
        <v>624</v>
      </c>
      <c r="B2" s="35"/>
      <c r="C2" s="35"/>
      <c r="D2" s="35"/>
      <c r="E2" s="35"/>
      <c r="F2" s="35"/>
      <c r="G2" s="35"/>
      <c r="H2" s="35"/>
      <c r="J2" s="261"/>
    </row>
    <row r="3" spans="1:10" s="36" customFormat="1" ht="20.100000000000001" customHeight="1">
      <c r="A3" s="35"/>
      <c r="B3" s="35"/>
      <c r="C3" s="35"/>
      <c r="D3" s="35"/>
      <c r="E3" s="35"/>
      <c r="F3" s="35"/>
      <c r="G3" s="35"/>
      <c r="H3" s="35"/>
      <c r="J3" s="261"/>
    </row>
    <row r="4" spans="1:10" ht="20.100000000000001" customHeight="1"/>
    <row r="5" spans="1:10" ht="21.75" customHeight="1">
      <c r="A5" s="1400" t="s">
        <v>163</v>
      </c>
      <c r="B5" s="1374"/>
      <c r="C5" s="1374"/>
      <c r="D5" s="1401"/>
      <c r="E5" s="1284" t="s">
        <v>164</v>
      </c>
      <c r="F5" s="1404" t="s">
        <v>41</v>
      </c>
      <c r="G5" s="1284" t="s">
        <v>165</v>
      </c>
      <c r="H5" s="1284" t="s">
        <v>152</v>
      </c>
    </row>
    <row r="6" spans="1:10" ht="21.75" customHeight="1">
      <c r="A6" s="1402"/>
      <c r="B6" s="1375"/>
      <c r="C6" s="1375"/>
      <c r="D6" s="1403"/>
      <c r="E6" s="1371"/>
      <c r="F6" s="1405"/>
      <c r="G6" s="1371"/>
      <c r="H6" s="1371"/>
    </row>
    <row r="7" spans="1:10" ht="60" customHeight="1">
      <c r="A7" s="1433" t="s">
        <v>42</v>
      </c>
      <c r="B7" s="263"/>
      <c r="C7" s="264" t="s">
        <v>148</v>
      </c>
      <c r="D7" s="265"/>
      <c r="E7" s="266" t="s">
        <v>245</v>
      </c>
      <c r="F7" s="266" t="s">
        <v>979</v>
      </c>
      <c r="G7" s="267" t="str">
        <f>"(기본급+제수당+상여금)×"&amp;I7&amp;"%"</f>
        <v>(기본급+제수당+상여금)×0.9%</v>
      </c>
      <c r="H7" s="268"/>
      <c r="I7" s="34">
        <f>산재비율!D18/1000*100+0.1</f>
        <v>0.9</v>
      </c>
    </row>
    <row r="8" spans="1:10" ht="45.75" customHeight="1">
      <c r="A8" s="1434"/>
      <c r="B8" s="263"/>
      <c r="C8" s="264" t="s">
        <v>150</v>
      </c>
      <c r="D8" s="265"/>
      <c r="E8" s="266" t="s">
        <v>237</v>
      </c>
      <c r="F8" s="266" t="s">
        <v>238</v>
      </c>
      <c r="G8" s="266" t="str">
        <f>"(기본급+제수당+상여금)×"&amp;I8&amp;"%"</f>
        <v>(기본급+제수당+상여금)×4.5%</v>
      </c>
      <c r="H8" s="269"/>
      <c r="I8" s="34">
        <v>4.5</v>
      </c>
    </row>
    <row r="9" spans="1:10" ht="172.5" customHeight="1">
      <c r="A9" s="1434"/>
      <c r="B9" s="263"/>
      <c r="C9" s="264" t="s">
        <v>135</v>
      </c>
      <c r="D9" s="265"/>
      <c r="E9" s="266" t="s">
        <v>239</v>
      </c>
      <c r="F9" s="270" t="s">
        <v>980</v>
      </c>
      <c r="G9" s="266" t="str">
        <f>"(기본급+제수당+상여금)×"&amp;I9&amp;"%"</f>
        <v>(기본급+제수당+상여금)×1.15%</v>
      </c>
      <c r="H9" s="269"/>
      <c r="I9" s="34">
        <v>1.1499999999999999</v>
      </c>
    </row>
    <row r="10" spans="1:10" ht="92.25" customHeight="1">
      <c r="A10" s="1434"/>
      <c r="B10" s="263"/>
      <c r="C10" s="264" t="s">
        <v>151</v>
      </c>
      <c r="D10" s="265"/>
      <c r="E10" s="266" t="s">
        <v>241</v>
      </c>
      <c r="F10" s="266" t="s">
        <v>850</v>
      </c>
      <c r="G10" s="266" t="str">
        <f>"(기본급+제수당+상여금)×"&amp;I10&amp;"%"</f>
        <v>(기본급+제수당+상여금)×3.545%</v>
      </c>
      <c r="H10" s="269"/>
      <c r="I10" s="34">
        <f>TRUNC(7.09/2,3)</f>
        <v>3.5449999999999999</v>
      </c>
    </row>
    <row r="11" spans="1:10" ht="45.75" customHeight="1">
      <c r="A11" s="1434"/>
      <c r="B11" s="263"/>
      <c r="C11" s="264" t="s">
        <v>43</v>
      </c>
      <c r="D11" s="265"/>
      <c r="E11" s="266" t="s">
        <v>981</v>
      </c>
      <c r="F11" s="266" t="s">
        <v>982</v>
      </c>
      <c r="G11" s="266" t="str">
        <f>"산출건강보험료 × "&amp;I11&amp;"%"</f>
        <v>산출건강보험료 × 12.81%</v>
      </c>
      <c r="H11" s="269"/>
      <c r="I11" s="905">
        <v>12.81</v>
      </c>
    </row>
    <row r="12" spans="1:10" ht="45.75" customHeight="1">
      <c r="A12" s="1434"/>
      <c r="B12" s="263"/>
      <c r="C12" s="264" t="s">
        <v>149</v>
      </c>
      <c r="D12" s="265"/>
      <c r="E12" s="267" t="s">
        <v>983</v>
      </c>
      <c r="F12" s="267" t="s">
        <v>984</v>
      </c>
      <c r="G12" s="267" t="str">
        <f>"(기본급+제수당+상여금)×"&amp;I12&amp;"%"</f>
        <v>(기본급+제수당+상여금)×0.06%</v>
      </c>
      <c r="H12" s="269"/>
      <c r="I12" s="34">
        <v>0.06</v>
      </c>
    </row>
    <row r="13" spans="1:10" ht="60" customHeight="1">
      <c r="A13" s="1435"/>
      <c r="B13" s="271"/>
      <c r="C13" s="272" t="s">
        <v>634</v>
      </c>
      <c r="D13" s="273"/>
      <c r="E13" s="66" t="s">
        <v>274</v>
      </c>
      <c r="F13" s="66" t="s">
        <v>985</v>
      </c>
      <c r="G13" s="66" t="str">
        <f>"(기본급+제수당+상여금)×"&amp;I13&amp;"%"</f>
        <v>(기본급+제수당+상여금)×0.004%</v>
      </c>
      <c r="H13" s="274"/>
      <c r="I13" s="34">
        <f>4/100000*100</f>
        <v>4.0000000000000001E-3</v>
      </c>
    </row>
  </sheetData>
  <mergeCells count="6">
    <mergeCell ref="A7:A13"/>
    <mergeCell ref="H5:H6"/>
    <mergeCell ref="A5:D6"/>
    <mergeCell ref="E5:E6"/>
    <mergeCell ref="F5:F6"/>
    <mergeCell ref="G5:G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63" firstPageNumber="141" orientation="landscape" r:id="rId1"/>
  <headerFooter alignWithMargins="0">
    <oddFooter>&amp;C&amp;"바탕체,보통"&amp;13- &amp;P -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11" workbookViewId="0">
      <selection activeCell="O24" sqref="O24"/>
    </sheetView>
  </sheetViews>
  <sheetFormatPr defaultRowHeight="13.5"/>
  <cols>
    <col min="1" max="4" width="21.33203125" customWidth="1"/>
  </cols>
  <sheetData>
    <row r="1" spans="1:4" ht="27" customHeight="1">
      <c r="A1" s="1439" t="s">
        <v>861</v>
      </c>
      <c r="B1" s="1440"/>
      <c r="C1" s="1440"/>
      <c r="D1" s="1441"/>
    </row>
    <row r="2" spans="1:4" ht="13.5" customHeight="1">
      <c r="A2" s="1442" t="s">
        <v>862</v>
      </c>
      <c r="B2" s="1443"/>
      <c r="C2" s="1443"/>
      <c r="D2" s="1444"/>
    </row>
    <row r="3" spans="1:4" ht="13.5" customHeight="1">
      <c r="A3" s="1445">
        <v>44924</v>
      </c>
      <c r="B3" s="1446"/>
      <c r="C3" s="1446"/>
      <c r="D3" s="1447"/>
    </row>
    <row r="4" spans="1:4" ht="13.5" customHeight="1">
      <c r="A4" s="1448" t="s">
        <v>863</v>
      </c>
      <c r="B4" s="1449"/>
      <c r="C4" s="1449"/>
      <c r="D4" s="1450"/>
    </row>
    <row r="5" spans="1:4" ht="14.25" customHeight="1">
      <c r="A5" s="1451" t="s">
        <v>864</v>
      </c>
      <c r="B5" s="1452"/>
      <c r="C5" s="1452"/>
      <c r="D5" s="1453"/>
    </row>
    <row r="6" spans="1:4" ht="14.25" customHeight="1">
      <c r="A6" s="1451" t="s">
        <v>865</v>
      </c>
      <c r="B6" s="1452"/>
      <c r="C6" s="1452"/>
      <c r="D6" s="1453"/>
    </row>
    <row r="7" spans="1:4" ht="15.75" customHeight="1" thickBot="1">
      <c r="A7" s="1454" t="s">
        <v>866</v>
      </c>
      <c r="B7" s="1455"/>
      <c r="C7" s="1455"/>
      <c r="D7" s="1456"/>
    </row>
    <row r="8" spans="1:4" ht="15.75" thickTop="1">
      <c r="A8" s="821" t="s">
        <v>867</v>
      </c>
      <c r="B8" s="812" t="s">
        <v>220</v>
      </c>
      <c r="C8" s="812" t="s">
        <v>867</v>
      </c>
      <c r="D8" s="822" t="s">
        <v>220</v>
      </c>
    </row>
    <row r="9" spans="1:4" ht="15">
      <c r="A9" s="823" t="s">
        <v>207</v>
      </c>
      <c r="B9" s="813"/>
      <c r="C9" s="814" t="s">
        <v>297</v>
      </c>
      <c r="D9" s="824">
        <v>36</v>
      </c>
    </row>
    <row r="10" spans="1:4" ht="15">
      <c r="A10" s="825" t="s">
        <v>296</v>
      </c>
      <c r="B10" s="815">
        <v>185</v>
      </c>
      <c r="C10" s="816" t="s">
        <v>868</v>
      </c>
      <c r="D10" s="826"/>
    </row>
    <row r="11" spans="1:4" ht="30">
      <c r="A11" s="825" t="s">
        <v>869</v>
      </c>
      <c r="B11" s="815">
        <v>57</v>
      </c>
      <c r="C11" s="817" t="s">
        <v>870</v>
      </c>
      <c r="D11" s="827">
        <v>8</v>
      </c>
    </row>
    <row r="12" spans="1:4" ht="15">
      <c r="A12" s="828" t="s">
        <v>157</v>
      </c>
      <c r="B12" s="815"/>
      <c r="C12" s="817" t="s">
        <v>871</v>
      </c>
      <c r="D12" s="827">
        <v>18</v>
      </c>
    </row>
    <row r="13" spans="1:4" ht="15">
      <c r="A13" s="825" t="s">
        <v>872</v>
      </c>
      <c r="B13" s="815">
        <v>16</v>
      </c>
      <c r="C13" s="817" t="s">
        <v>873</v>
      </c>
      <c r="D13" s="827">
        <v>9</v>
      </c>
    </row>
    <row r="14" spans="1:4" ht="15">
      <c r="A14" s="825" t="s">
        <v>874</v>
      </c>
      <c r="B14" s="815">
        <v>11</v>
      </c>
      <c r="C14" s="818" t="s">
        <v>298</v>
      </c>
      <c r="D14" s="827">
        <v>58</v>
      </c>
    </row>
    <row r="15" spans="1:4" ht="15">
      <c r="A15" s="825" t="s">
        <v>875</v>
      </c>
      <c r="B15" s="815">
        <v>20</v>
      </c>
      <c r="C15" s="818" t="s">
        <v>299</v>
      </c>
      <c r="D15" s="827">
        <v>28</v>
      </c>
    </row>
    <row r="16" spans="1:4" ht="15">
      <c r="A16" s="825" t="s">
        <v>876</v>
      </c>
      <c r="B16" s="815">
        <v>10</v>
      </c>
      <c r="C16" s="818" t="s">
        <v>208</v>
      </c>
      <c r="D16" s="827">
        <v>20</v>
      </c>
    </row>
    <row r="17" spans="1:4" ht="15">
      <c r="A17" s="825" t="s">
        <v>877</v>
      </c>
      <c r="B17" s="815">
        <v>13</v>
      </c>
      <c r="C17" s="818" t="s">
        <v>221</v>
      </c>
      <c r="D17" s="826"/>
    </row>
    <row r="18" spans="1:4" ht="30">
      <c r="A18" s="825" t="s">
        <v>878</v>
      </c>
      <c r="B18" s="815">
        <v>7</v>
      </c>
      <c r="C18" s="817" t="s">
        <v>879</v>
      </c>
      <c r="D18" s="827">
        <v>8</v>
      </c>
    </row>
    <row r="19" spans="1:4" ht="30">
      <c r="A19" s="825" t="s">
        <v>880</v>
      </c>
      <c r="B19" s="815">
        <v>13</v>
      </c>
      <c r="C19" s="817" t="s">
        <v>222</v>
      </c>
      <c r="D19" s="827">
        <v>9</v>
      </c>
    </row>
    <row r="20" spans="1:4" ht="30">
      <c r="A20" s="825" t="s">
        <v>881</v>
      </c>
      <c r="B20" s="815">
        <v>10</v>
      </c>
      <c r="C20" s="817" t="s">
        <v>882</v>
      </c>
      <c r="D20" s="827">
        <v>6</v>
      </c>
    </row>
    <row r="21" spans="1:4" ht="30">
      <c r="A21" s="825" t="s">
        <v>883</v>
      </c>
      <c r="B21" s="815">
        <v>6</v>
      </c>
      <c r="C21" s="817" t="s">
        <v>884</v>
      </c>
      <c r="D21" s="827">
        <v>8</v>
      </c>
    </row>
    <row r="22" spans="1:4" ht="15">
      <c r="A22" s="825" t="s">
        <v>885</v>
      </c>
      <c r="B22" s="815">
        <v>24</v>
      </c>
      <c r="C22" s="817" t="s">
        <v>886</v>
      </c>
      <c r="D22" s="827">
        <v>7</v>
      </c>
    </row>
    <row r="23" spans="1:4" ht="15">
      <c r="A23" s="825" t="s">
        <v>887</v>
      </c>
      <c r="B23" s="815">
        <v>12</v>
      </c>
      <c r="C23" s="817" t="s">
        <v>300</v>
      </c>
      <c r="D23" s="827">
        <v>9</v>
      </c>
    </row>
    <row r="24" spans="1:4" ht="30">
      <c r="A24" s="828" t="s">
        <v>888</v>
      </c>
      <c r="B24" s="815">
        <v>8</v>
      </c>
      <c r="C24" s="818" t="s">
        <v>301</v>
      </c>
      <c r="D24" s="827">
        <v>6</v>
      </c>
    </row>
    <row r="25" spans="1:4" ht="15.75" thickBot="1">
      <c r="A25" s="829"/>
      <c r="B25" s="819"/>
      <c r="C25" s="820" t="s">
        <v>889</v>
      </c>
      <c r="D25" s="830"/>
    </row>
    <row r="26" spans="1:4" ht="14.25" thickTop="1">
      <c r="A26" s="1457"/>
      <c r="B26" s="1458"/>
      <c r="C26" s="1458"/>
      <c r="D26" s="1459"/>
    </row>
    <row r="27" spans="1:4" ht="47.25" customHeight="1">
      <c r="A27" s="1460" t="s">
        <v>890</v>
      </c>
      <c r="B27" s="1461"/>
      <c r="C27" s="1461"/>
      <c r="D27" s="1462"/>
    </row>
    <row r="28" spans="1:4">
      <c r="A28" s="1463"/>
      <c r="B28" s="1464"/>
      <c r="C28" s="1464"/>
      <c r="D28" s="1465"/>
    </row>
    <row r="29" spans="1:4" ht="79.5" customHeight="1">
      <c r="A29" s="1466" t="s">
        <v>891</v>
      </c>
      <c r="B29" s="1467"/>
      <c r="C29" s="1467"/>
      <c r="D29" s="1468"/>
    </row>
    <row r="30" spans="1:4" ht="0.75" customHeight="1">
      <c r="A30" s="1436"/>
      <c r="B30" s="1437"/>
      <c r="C30" s="1437"/>
      <c r="D30" s="1438"/>
    </row>
    <row r="32" spans="1:4">
      <c r="A32" s="831" t="s">
        <v>892</v>
      </c>
      <c r="B32" s="831"/>
      <c r="C32" s="831"/>
      <c r="D32" s="831"/>
    </row>
  </sheetData>
  <mergeCells count="12">
    <mergeCell ref="A30:D30"/>
    <mergeCell ref="A1:D1"/>
    <mergeCell ref="A2:D2"/>
    <mergeCell ref="A3:D3"/>
    <mergeCell ref="A4:D4"/>
    <mergeCell ref="A5:D5"/>
    <mergeCell ref="A6:D6"/>
    <mergeCell ref="A7:D7"/>
    <mergeCell ref="A26:D26"/>
    <mergeCell ref="A27:D27"/>
    <mergeCell ref="A28:D28"/>
    <mergeCell ref="A29:D29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showZeros="0" view="pageBreakPreview" topLeftCell="A13" zoomScale="106" zoomScaleNormal="85" zoomScaleSheetLayoutView="106" workbookViewId="0">
      <selection activeCell="D12" sqref="D12"/>
    </sheetView>
  </sheetViews>
  <sheetFormatPr defaultRowHeight="12"/>
  <cols>
    <col min="1" max="1" width="11.88671875" style="34" customWidth="1"/>
    <col min="2" max="2" width="15.6640625" style="12" customWidth="1"/>
    <col min="3" max="3" width="1.44140625" style="12" customWidth="1"/>
    <col min="4" max="4" width="17.21875" style="12" customWidth="1"/>
    <col min="5" max="5" width="1.44140625" style="34" customWidth="1"/>
    <col min="6" max="6" width="7.109375" style="12" customWidth="1"/>
    <col min="7" max="7" width="19" style="34" customWidth="1"/>
    <col min="8" max="8" width="13.5546875" style="34" customWidth="1"/>
    <col min="9" max="9" width="8.88671875" style="34"/>
    <col min="10" max="10" width="17.21875" style="34" customWidth="1"/>
    <col min="11" max="16384" width="8.88671875" style="34"/>
  </cols>
  <sheetData>
    <row r="1" spans="1:14" ht="20.100000000000001" customHeight="1">
      <c r="A1" s="1" t="str">
        <f>"[ 표 : "&amp;H1&amp;" ] "</f>
        <v xml:space="preserve">[ 표 : 12 ] </v>
      </c>
      <c r="B1" s="33"/>
      <c r="H1" s="34">
        <f>보험료산정기준!I1+1</f>
        <v>12</v>
      </c>
    </row>
    <row r="2" spans="1:14" s="36" customFormat="1" ht="30" customHeight="1">
      <c r="A2" s="35" t="s">
        <v>166</v>
      </c>
      <c r="B2" s="4"/>
      <c r="C2" s="4"/>
      <c r="D2" s="4"/>
      <c r="E2" s="35"/>
      <c r="F2" s="4"/>
      <c r="G2" s="35"/>
    </row>
    <row r="3" spans="1:14" s="36" customFormat="1" ht="9" customHeight="1">
      <c r="A3" s="35"/>
      <c r="B3" s="4"/>
      <c r="C3" s="4"/>
      <c r="D3" s="4"/>
      <c r="E3" s="35"/>
      <c r="F3" s="4"/>
      <c r="G3" s="35"/>
      <c r="H3" s="35"/>
    </row>
    <row r="4" spans="1:14" ht="20.100000000000001" customHeight="1">
      <c r="J4" s="1469" t="s">
        <v>906</v>
      </c>
      <c r="K4" s="1469"/>
      <c r="L4" s="1469"/>
      <c r="M4" s="1469"/>
    </row>
    <row r="5" spans="1:14" ht="20.100000000000001" customHeight="1">
      <c r="A5" s="1400" t="s">
        <v>243</v>
      </c>
      <c r="B5" s="1351" t="s">
        <v>382</v>
      </c>
      <c r="C5" s="1470"/>
      <c r="D5" s="1472" t="s">
        <v>100</v>
      </c>
      <c r="E5" s="1474"/>
      <c r="F5" s="1356" t="s">
        <v>134</v>
      </c>
      <c r="G5" s="1284" t="s">
        <v>152</v>
      </c>
      <c r="H5" s="516"/>
      <c r="J5" s="832" t="s">
        <v>897</v>
      </c>
      <c r="K5" s="833" t="s">
        <v>898</v>
      </c>
      <c r="L5" s="834" t="s">
        <v>899</v>
      </c>
      <c r="N5" s="34" t="s">
        <v>905</v>
      </c>
    </row>
    <row r="6" spans="1:14" ht="20.100000000000001" customHeight="1">
      <c r="A6" s="1402"/>
      <c r="B6" s="1352"/>
      <c r="C6" s="1471"/>
      <c r="D6" s="1473"/>
      <c r="E6" s="1475"/>
      <c r="F6" s="1357"/>
      <c r="G6" s="1371"/>
      <c r="H6" s="516"/>
      <c r="J6" s="835" t="s">
        <v>900</v>
      </c>
      <c r="K6" s="841">
        <v>0.05</v>
      </c>
      <c r="L6" s="836" t="s">
        <v>901</v>
      </c>
      <c r="N6" s="843">
        <f>$F$25*K6</f>
        <v>1.25</v>
      </c>
    </row>
    <row r="7" spans="1:14" ht="27" customHeight="1">
      <c r="A7" s="53"/>
      <c r="B7" s="364"/>
      <c r="C7" s="517"/>
      <c r="D7" s="518" t="s">
        <v>98</v>
      </c>
      <c r="E7" s="519"/>
      <c r="F7" s="29" t="s">
        <v>145</v>
      </c>
      <c r="G7" s="262"/>
      <c r="H7" s="516"/>
      <c r="J7" s="835" t="s">
        <v>361</v>
      </c>
      <c r="K7" s="841">
        <v>0.15</v>
      </c>
      <c r="L7" s="837" t="s">
        <v>902</v>
      </c>
      <c r="N7" s="843">
        <f>$F$25*K7</f>
        <v>3.75</v>
      </c>
    </row>
    <row r="8" spans="1:14" ht="27" customHeight="1">
      <c r="A8" s="269" t="s">
        <v>643</v>
      </c>
      <c r="B8" s="520" t="s">
        <v>554</v>
      </c>
      <c r="C8" s="442"/>
      <c r="D8" s="521" t="s">
        <v>361</v>
      </c>
      <c r="E8" s="522"/>
      <c r="F8" s="523">
        <v>1</v>
      </c>
      <c r="G8" s="1284" t="s">
        <v>558</v>
      </c>
      <c r="J8" s="835" t="s">
        <v>362</v>
      </c>
      <c r="K8" s="841">
        <v>0.15</v>
      </c>
      <c r="L8" s="838"/>
      <c r="N8" s="843">
        <f>$F$25*K8</f>
        <v>3.75</v>
      </c>
    </row>
    <row r="9" spans="1:14" ht="27" customHeight="1">
      <c r="A9" s="269" t="s">
        <v>643</v>
      </c>
      <c r="B9" s="520" t="s">
        <v>644</v>
      </c>
      <c r="C9" s="442"/>
      <c r="D9" s="521" t="s">
        <v>986</v>
      </c>
      <c r="E9" s="522"/>
      <c r="F9" s="523">
        <v>1</v>
      </c>
      <c r="G9" s="1291"/>
      <c r="J9" s="835" t="s">
        <v>364</v>
      </c>
      <c r="K9" s="841">
        <v>0.15</v>
      </c>
      <c r="L9" s="838"/>
      <c r="N9" s="843">
        <f>$F$25*K9</f>
        <v>3.75</v>
      </c>
    </row>
    <row r="10" spans="1:14" ht="27" customHeight="1">
      <c r="A10" s="269" t="s">
        <v>643</v>
      </c>
      <c r="B10" s="520" t="s">
        <v>1400</v>
      </c>
      <c r="C10" s="442"/>
      <c r="D10" s="521" t="s">
        <v>991</v>
      </c>
      <c r="E10" s="522"/>
      <c r="F10" s="523">
        <v>1</v>
      </c>
      <c r="G10" s="1291"/>
      <c r="J10" s="835"/>
      <c r="K10" s="841"/>
      <c r="L10" s="838"/>
      <c r="N10" s="843"/>
    </row>
    <row r="11" spans="1:14" ht="27" customHeight="1">
      <c r="A11" s="267" t="s">
        <v>645</v>
      </c>
      <c r="B11" s="520" t="s">
        <v>555</v>
      </c>
      <c r="C11" s="442"/>
      <c r="D11" s="521" t="s">
        <v>362</v>
      </c>
      <c r="E11" s="522"/>
      <c r="F11" s="523">
        <v>2</v>
      </c>
      <c r="G11" s="1291"/>
      <c r="J11" s="835" t="s">
        <v>363</v>
      </c>
      <c r="K11" s="841">
        <v>0.15</v>
      </c>
      <c r="L11" s="838"/>
      <c r="N11" s="843">
        <f>$F$25*K11</f>
        <v>3.75</v>
      </c>
    </row>
    <row r="12" spans="1:14" ht="27" customHeight="1">
      <c r="A12" s="267" t="s">
        <v>645</v>
      </c>
      <c r="B12" s="520" t="s">
        <v>988</v>
      </c>
      <c r="C12" s="442"/>
      <c r="D12" s="521" t="s">
        <v>362</v>
      </c>
      <c r="E12" s="522"/>
      <c r="F12" s="523">
        <v>2</v>
      </c>
      <c r="G12" s="1291"/>
      <c r="J12" s="835" t="s">
        <v>365</v>
      </c>
      <c r="K12" s="841">
        <v>0.15</v>
      </c>
      <c r="L12" s="838"/>
      <c r="N12" s="843">
        <f>$F$25*K12</f>
        <v>3.75</v>
      </c>
    </row>
    <row r="13" spans="1:14" ht="27" customHeight="1">
      <c r="A13" s="1217" t="s">
        <v>645</v>
      </c>
      <c r="B13" s="1218" t="s">
        <v>557</v>
      </c>
      <c r="C13" s="1219"/>
      <c r="D13" s="1220" t="s">
        <v>363</v>
      </c>
      <c r="E13" s="1221"/>
      <c r="F13" s="502">
        <v>2</v>
      </c>
      <c r="G13" s="1291"/>
      <c r="J13" s="835" t="s">
        <v>366</v>
      </c>
      <c r="K13" s="841">
        <v>0.1</v>
      </c>
      <c r="L13" s="839"/>
      <c r="N13" s="843">
        <f>$F$25*K13</f>
        <v>2.5</v>
      </c>
    </row>
    <row r="14" spans="1:14" s="12" customFormat="1" ht="27" customHeight="1">
      <c r="A14" s="1217" t="s">
        <v>645</v>
      </c>
      <c r="B14" s="1218" t="s">
        <v>556</v>
      </c>
      <c r="C14" s="1219"/>
      <c r="D14" s="1220" t="s">
        <v>363</v>
      </c>
      <c r="E14" s="1221"/>
      <c r="F14" s="502">
        <v>2</v>
      </c>
      <c r="G14" s="1291"/>
      <c r="J14" s="835" t="s">
        <v>903</v>
      </c>
      <c r="K14" s="841">
        <v>0.1</v>
      </c>
      <c r="L14" s="840" t="s">
        <v>904</v>
      </c>
      <c r="N14" s="843">
        <f>$F$25*K14</f>
        <v>2.5</v>
      </c>
    </row>
    <row r="15" spans="1:14" s="12" customFormat="1" ht="27" customHeight="1">
      <c r="A15" s="1217" t="s">
        <v>645</v>
      </c>
      <c r="B15" s="1218" t="s">
        <v>989</v>
      </c>
      <c r="C15" s="1219"/>
      <c r="D15" s="1220" t="s">
        <v>364</v>
      </c>
      <c r="E15" s="1221"/>
      <c r="F15" s="502">
        <v>1</v>
      </c>
      <c r="G15" s="1291"/>
      <c r="K15" s="842">
        <f>SUM(K6:K14)</f>
        <v>1</v>
      </c>
      <c r="N15" s="12">
        <f>SUM(N6:N14)</f>
        <v>25</v>
      </c>
    </row>
    <row r="16" spans="1:14" s="12" customFormat="1" ht="27" customHeight="1">
      <c r="A16" s="1217" t="s">
        <v>645</v>
      </c>
      <c r="B16" s="1218" t="s">
        <v>556</v>
      </c>
      <c r="C16" s="1219"/>
      <c r="D16" s="1220" t="s">
        <v>364</v>
      </c>
      <c r="E16" s="1221"/>
      <c r="F16" s="502">
        <v>1</v>
      </c>
      <c r="G16" s="1291"/>
    </row>
    <row r="17" spans="1:11" s="12" customFormat="1" ht="27" customHeight="1">
      <c r="A17" s="1217" t="s">
        <v>645</v>
      </c>
      <c r="B17" s="1218" t="s">
        <v>557</v>
      </c>
      <c r="C17" s="1219"/>
      <c r="D17" s="1220" t="s">
        <v>990</v>
      </c>
      <c r="E17" s="1221"/>
      <c r="F17" s="502">
        <v>2</v>
      </c>
      <c r="G17" s="1291"/>
    </row>
    <row r="18" spans="1:11" s="12" customFormat="1" ht="27" customHeight="1">
      <c r="A18" s="1217" t="s">
        <v>645</v>
      </c>
      <c r="B18" s="1218" t="s">
        <v>556</v>
      </c>
      <c r="C18" s="1219"/>
      <c r="D18" s="1220" t="s">
        <v>365</v>
      </c>
      <c r="E18" s="1221"/>
      <c r="F18" s="502">
        <v>2</v>
      </c>
      <c r="G18" s="1291"/>
    </row>
    <row r="19" spans="1:11" s="12" customFormat="1" ht="27" customHeight="1">
      <c r="A19" s="1217" t="s">
        <v>645</v>
      </c>
      <c r="B19" s="1218" t="s">
        <v>989</v>
      </c>
      <c r="C19" s="1219"/>
      <c r="D19" s="1220" t="s">
        <v>991</v>
      </c>
      <c r="E19" s="1221"/>
      <c r="F19" s="502">
        <v>1</v>
      </c>
      <c r="G19" s="1291"/>
    </row>
    <row r="20" spans="1:11" s="12" customFormat="1" ht="27" customHeight="1">
      <c r="A20" s="267" t="s">
        <v>645</v>
      </c>
      <c r="B20" s="520" t="s">
        <v>992</v>
      </c>
      <c r="C20" s="442"/>
      <c r="D20" s="521" t="s">
        <v>991</v>
      </c>
      <c r="E20" s="428"/>
      <c r="F20" s="523">
        <v>1</v>
      </c>
      <c r="G20" s="1291"/>
    </row>
    <row r="21" spans="1:11" s="12" customFormat="1" ht="27" customHeight="1">
      <c r="A21" s="276" t="s">
        <v>384</v>
      </c>
      <c r="B21" s="520" t="s">
        <v>1402</v>
      </c>
      <c r="C21" s="442"/>
      <c r="D21" s="521" t="s">
        <v>991</v>
      </c>
      <c r="E21" s="428"/>
      <c r="F21" s="523">
        <v>1</v>
      </c>
      <c r="G21" s="1291"/>
    </row>
    <row r="22" spans="1:11" s="12" customFormat="1" ht="27" customHeight="1">
      <c r="A22" s="276" t="s">
        <v>384</v>
      </c>
      <c r="B22" s="520" t="s">
        <v>383</v>
      </c>
      <c r="C22" s="442"/>
      <c r="D22" s="521" t="s">
        <v>219</v>
      </c>
      <c r="E22" s="428"/>
      <c r="F22" s="523">
        <v>2</v>
      </c>
      <c r="G22" s="1291"/>
    </row>
    <row r="23" spans="1:11" s="12" customFormat="1" ht="27" customHeight="1">
      <c r="A23" s="276" t="s">
        <v>987</v>
      </c>
      <c r="B23" s="909" t="s">
        <v>1038</v>
      </c>
      <c r="C23" s="58"/>
      <c r="D23" s="521" t="s">
        <v>991</v>
      </c>
      <c r="E23" s="58"/>
      <c r="F23" s="523">
        <v>1</v>
      </c>
      <c r="G23" s="1291"/>
    </row>
    <row r="24" spans="1:11" s="12" customFormat="1" ht="27" customHeight="1">
      <c r="A24" s="276" t="s">
        <v>987</v>
      </c>
      <c r="B24" s="909" t="s">
        <v>1039</v>
      </c>
      <c r="D24" s="521" t="s">
        <v>219</v>
      </c>
      <c r="F24" s="31">
        <v>2</v>
      </c>
      <c r="G24" s="1371"/>
    </row>
    <row r="25" spans="1:11" ht="27" customHeight="1">
      <c r="A25" s="75" t="s">
        <v>101</v>
      </c>
      <c r="B25" s="325"/>
      <c r="C25" s="906"/>
      <c r="D25" s="521"/>
      <c r="E25" s="522"/>
      <c r="F25" s="523">
        <f>SUM(F8:F24)</f>
        <v>25</v>
      </c>
      <c r="G25" s="37"/>
      <c r="K25" s="12"/>
    </row>
    <row r="26" spans="1:11" s="12" customFormat="1" ht="18.75" customHeight="1">
      <c r="A26" s="25" t="str">
        <f>"주 1) 적용직종 : 전문업체 운영계획서 및 조직도 참조"</f>
        <v>주 1) 적용직종 : 전문업체 운영계획서 및 조직도 참조</v>
      </c>
      <c r="B26" s="69"/>
    </row>
    <row r="27" spans="1:11" ht="18.75" customHeight="1">
      <c r="A27" s="254"/>
      <c r="B27" s="69"/>
      <c r="K27" s="12"/>
    </row>
    <row r="28" spans="1:11" ht="36.75" customHeight="1"/>
    <row r="29" spans="1:11" ht="36.75" customHeight="1"/>
    <row r="30" spans="1:11" ht="36.75" customHeight="1"/>
    <row r="31" spans="1:11" ht="36.75" customHeight="1"/>
    <row r="32" spans="1:11" ht="36.75" customHeight="1"/>
    <row r="33" ht="36.75" customHeight="1"/>
    <row r="34" ht="36.75" customHeight="1"/>
    <row r="35" ht="36.75" customHeight="1"/>
    <row r="36" ht="36.75" customHeight="1"/>
    <row r="37" ht="36.75" customHeight="1"/>
    <row r="38" ht="36.75" customHeight="1"/>
    <row r="39" ht="36.75" customHeight="1"/>
    <row r="40" ht="36.75" customHeight="1"/>
    <row r="41" ht="36.75" customHeight="1"/>
    <row r="42" ht="36.75" customHeight="1"/>
    <row r="43" ht="36.75" customHeight="1"/>
    <row r="44" ht="36.75" customHeight="1"/>
    <row r="45" ht="36.75" customHeight="1"/>
    <row r="46" ht="36.75" customHeight="1"/>
    <row r="47" ht="36.75" customHeight="1"/>
    <row r="48" ht="36.75" customHeight="1"/>
    <row r="49" ht="36.75" customHeight="1"/>
    <row r="50" ht="36.75" customHeight="1"/>
    <row r="51" ht="36.75" customHeight="1"/>
  </sheetData>
  <mergeCells count="9">
    <mergeCell ref="J4:M4"/>
    <mergeCell ref="G5:G6"/>
    <mergeCell ref="G8:G24"/>
    <mergeCell ref="F5:F6"/>
    <mergeCell ref="A5:A6"/>
    <mergeCell ref="C5:C6"/>
    <mergeCell ref="D5:D6"/>
    <mergeCell ref="E5:E6"/>
    <mergeCell ref="B5:B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9"/>
  <sheetViews>
    <sheetView view="pageBreakPreview" zoomScaleNormal="90" zoomScaleSheetLayoutView="100" workbookViewId="0">
      <selection activeCell="T16" sqref="T16"/>
    </sheetView>
  </sheetViews>
  <sheetFormatPr defaultRowHeight="24.95" customHeight="1"/>
  <cols>
    <col min="1" max="1" width="8.44140625" style="470" customWidth="1"/>
    <col min="2" max="15" width="7.33203125" style="470" customWidth="1"/>
    <col min="16" max="16" width="13.5546875" style="470" customWidth="1"/>
    <col min="17" max="17" width="10.44140625" style="470" customWidth="1"/>
    <col min="18" max="18" width="8.88671875" style="470" customWidth="1"/>
    <col min="19" max="16384" width="8.88671875" style="470"/>
  </cols>
  <sheetData>
    <row r="1" spans="1:19" ht="20.100000000000001" customHeight="1">
      <c r="A1" s="1" t="str">
        <f>"[ 표 : "&amp;P1&amp;" ] "</f>
        <v xml:space="preserve">[ 표 : 13 ] </v>
      </c>
      <c r="P1" s="470">
        <f>투입인원!H1+1</f>
        <v>13</v>
      </c>
    </row>
    <row r="2" spans="1:19" s="473" customFormat="1" ht="39.950000000000003" customHeight="1">
      <c r="A2" s="471" t="s">
        <v>330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</row>
    <row r="3" spans="1:19" s="473" customFormat="1" ht="20.100000000000001" customHeight="1">
      <c r="A3" s="471"/>
      <c r="B3" s="472"/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</row>
    <row r="4" spans="1:19" ht="20.100000000000001" customHeight="1">
      <c r="A4" s="474" t="s">
        <v>1343</v>
      </c>
    </row>
    <row r="5" spans="1:19" ht="30" customHeight="1">
      <c r="A5" s="1478" t="s">
        <v>331</v>
      </c>
      <c r="B5" s="1480" t="s">
        <v>1342</v>
      </c>
      <c r="C5" s="1481"/>
      <c r="D5" s="1481"/>
      <c r="E5" s="1481"/>
      <c r="F5" s="1481"/>
      <c r="G5" s="1481"/>
      <c r="H5" s="1481"/>
      <c r="I5" s="1481"/>
      <c r="J5" s="1481"/>
      <c r="K5" s="1481"/>
      <c r="L5" s="1481"/>
      <c r="M5" s="1482"/>
      <c r="N5" s="1476" t="s">
        <v>121</v>
      </c>
      <c r="O5" s="1476" t="s">
        <v>332</v>
      </c>
    </row>
    <row r="6" spans="1:19" ht="30" customHeight="1">
      <c r="A6" s="1479"/>
      <c r="B6" s="475" t="s">
        <v>333</v>
      </c>
      <c r="C6" s="475" t="s">
        <v>271</v>
      </c>
      <c r="D6" s="475" t="s">
        <v>122</v>
      </c>
      <c r="E6" s="475" t="s">
        <v>123</v>
      </c>
      <c r="F6" s="475" t="s">
        <v>124</v>
      </c>
      <c r="G6" s="475" t="s">
        <v>125</v>
      </c>
      <c r="H6" s="475" t="s">
        <v>126</v>
      </c>
      <c r="I6" s="475" t="s">
        <v>127</v>
      </c>
      <c r="J6" s="475" t="s">
        <v>128</v>
      </c>
      <c r="K6" s="475" t="s">
        <v>129</v>
      </c>
      <c r="L6" s="475" t="s">
        <v>130</v>
      </c>
      <c r="M6" s="475" t="s">
        <v>1187</v>
      </c>
      <c r="N6" s="1477"/>
      <c r="O6" s="1477"/>
    </row>
    <row r="7" spans="1:19" ht="39.75" customHeight="1">
      <c r="A7" s="476" t="s">
        <v>334</v>
      </c>
      <c r="B7" s="477">
        <v>22</v>
      </c>
      <c r="C7" s="477">
        <v>19</v>
      </c>
      <c r="D7" s="477">
        <v>20</v>
      </c>
      <c r="E7" s="477">
        <v>22</v>
      </c>
      <c r="F7" s="477">
        <v>21</v>
      </c>
      <c r="G7" s="477">
        <v>19</v>
      </c>
      <c r="H7" s="477">
        <v>23</v>
      </c>
      <c r="I7" s="477">
        <v>21</v>
      </c>
      <c r="J7" s="477">
        <v>18</v>
      </c>
      <c r="K7" s="477">
        <v>21</v>
      </c>
      <c r="L7" s="477">
        <v>21</v>
      </c>
      <c r="M7" s="477">
        <v>21</v>
      </c>
      <c r="N7" s="478">
        <f t="shared" ref="N7:N12" si="0">SUM(B7:M7)</f>
        <v>248</v>
      </c>
      <c r="O7" s="478"/>
      <c r="P7" s="479"/>
      <c r="Q7" s="513"/>
    </row>
    <row r="8" spans="1:19" s="474" customFormat="1" ht="39.75" customHeight="1">
      <c r="A8" s="480" t="s">
        <v>335</v>
      </c>
      <c r="B8" s="477">
        <v>4</v>
      </c>
      <c r="C8" s="477">
        <v>4</v>
      </c>
      <c r="D8" s="477">
        <v>5</v>
      </c>
      <c r="E8" s="477">
        <v>4</v>
      </c>
      <c r="F8" s="477">
        <v>4</v>
      </c>
      <c r="G8" s="477">
        <v>5</v>
      </c>
      <c r="H8" s="477">
        <v>4</v>
      </c>
      <c r="I8" s="477">
        <v>5</v>
      </c>
      <c r="J8" s="477">
        <v>4</v>
      </c>
      <c r="K8" s="477">
        <v>4</v>
      </c>
      <c r="L8" s="477">
        <v>5</v>
      </c>
      <c r="M8" s="477">
        <v>4</v>
      </c>
      <c r="N8" s="478">
        <f t="shared" si="0"/>
        <v>52</v>
      </c>
      <c r="O8" s="478"/>
      <c r="P8" s="481"/>
      <c r="Q8" s="470"/>
    </row>
    <row r="9" spans="1:19" ht="39.75" customHeight="1">
      <c r="A9" s="482" t="s">
        <v>336</v>
      </c>
      <c r="B9" s="477">
        <v>4</v>
      </c>
      <c r="C9" s="477">
        <v>4</v>
      </c>
      <c r="D9" s="477">
        <v>5</v>
      </c>
      <c r="E9" s="477">
        <v>4</v>
      </c>
      <c r="F9" s="477">
        <v>4</v>
      </c>
      <c r="G9" s="477">
        <v>5</v>
      </c>
      <c r="H9" s="477">
        <v>4</v>
      </c>
      <c r="I9" s="477">
        <v>4</v>
      </c>
      <c r="J9" s="477">
        <v>5</v>
      </c>
      <c r="K9" s="477">
        <v>4</v>
      </c>
      <c r="L9" s="477">
        <v>4</v>
      </c>
      <c r="M9" s="477">
        <v>5</v>
      </c>
      <c r="N9" s="478">
        <f t="shared" si="0"/>
        <v>52</v>
      </c>
      <c r="O9" s="478"/>
      <c r="P9" s="483"/>
      <c r="Q9" s="479"/>
    </row>
    <row r="10" spans="1:19" ht="39.75" customHeight="1">
      <c r="A10" s="476" t="s">
        <v>337</v>
      </c>
      <c r="B10" s="477">
        <v>1</v>
      </c>
      <c r="C10" s="477">
        <v>2</v>
      </c>
      <c r="D10" s="477">
        <v>1</v>
      </c>
      <c r="E10" s="477">
        <v>0</v>
      </c>
      <c r="F10" s="477">
        <v>2</v>
      </c>
      <c r="G10" s="477">
        <v>1</v>
      </c>
      <c r="H10" s="477">
        <v>0</v>
      </c>
      <c r="I10" s="477">
        <v>1</v>
      </c>
      <c r="J10" s="477">
        <v>3</v>
      </c>
      <c r="K10" s="477">
        <v>2</v>
      </c>
      <c r="L10" s="477">
        <v>0</v>
      </c>
      <c r="M10" s="477">
        <v>1</v>
      </c>
      <c r="N10" s="478">
        <f t="shared" si="0"/>
        <v>14</v>
      </c>
      <c r="O10" s="478"/>
      <c r="Q10" s="514" t="s">
        <v>341</v>
      </c>
      <c r="S10" s="470">
        <f>N11</f>
        <v>66</v>
      </c>
    </row>
    <row r="11" spans="1:19" ht="39.75" customHeight="1">
      <c r="A11" s="476" t="s">
        <v>340</v>
      </c>
      <c r="B11" s="477">
        <f t="shared" ref="B11:M11" si="1">SUM(B9:B10)</f>
        <v>5</v>
      </c>
      <c r="C11" s="477">
        <f t="shared" si="1"/>
        <v>6</v>
      </c>
      <c r="D11" s="477">
        <f t="shared" si="1"/>
        <v>6</v>
      </c>
      <c r="E11" s="477">
        <f t="shared" si="1"/>
        <v>4</v>
      </c>
      <c r="F11" s="477">
        <f t="shared" si="1"/>
        <v>6</v>
      </c>
      <c r="G11" s="477">
        <f t="shared" si="1"/>
        <v>6</v>
      </c>
      <c r="H11" s="477">
        <f t="shared" si="1"/>
        <v>4</v>
      </c>
      <c r="I11" s="477">
        <f t="shared" si="1"/>
        <v>5</v>
      </c>
      <c r="J11" s="477">
        <f t="shared" si="1"/>
        <v>8</v>
      </c>
      <c r="K11" s="477">
        <f t="shared" si="1"/>
        <v>6</v>
      </c>
      <c r="L11" s="477">
        <f t="shared" si="1"/>
        <v>4</v>
      </c>
      <c r="M11" s="477">
        <f t="shared" si="1"/>
        <v>6</v>
      </c>
      <c r="N11" s="478">
        <f t="shared" si="0"/>
        <v>66</v>
      </c>
      <c r="O11" s="478" t="s">
        <v>631</v>
      </c>
      <c r="Q11" s="515">
        <f>ROUND(N11/3/12,1)</f>
        <v>1.8</v>
      </c>
      <c r="S11" s="470">
        <f>N12-S10</f>
        <v>300</v>
      </c>
    </row>
    <row r="12" spans="1:19" ht="39.75" customHeight="1">
      <c r="A12" s="482" t="s">
        <v>338</v>
      </c>
      <c r="B12" s="484">
        <f>SUM(B7:B10)</f>
        <v>31</v>
      </c>
      <c r="C12" s="484">
        <f t="shared" ref="C12:H12" si="2">SUM(C7:C10)</f>
        <v>29</v>
      </c>
      <c r="D12" s="484">
        <f t="shared" si="2"/>
        <v>31</v>
      </c>
      <c r="E12" s="484">
        <f t="shared" si="2"/>
        <v>30</v>
      </c>
      <c r="F12" s="484">
        <f t="shared" si="2"/>
        <v>31</v>
      </c>
      <c r="G12" s="484">
        <f t="shared" si="2"/>
        <v>30</v>
      </c>
      <c r="H12" s="484">
        <f t="shared" si="2"/>
        <v>31</v>
      </c>
      <c r="I12" s="484">
        <f>SUM(I7:I10)</f>
        <v>31</v>
      </c>
      <c r="J12" s="484">
        <f>SUM(J7:J10)</f>
        <v>30</v>
      </c>
      <c r="K12" s="484">
        <f>SUM(K7:K10)</f>
        <v>31</v>
      </c>
      <c r="L12" s="484">
        <f>SUM(L7:L10)</f>
        <v>30</v>
      </c>
      <c r="M12" s="484">
        <f>SUM(M7:M10)</f>
        <v>31</v>
      </c>
      <c r="N12" s="478">
        <f t="shared" si="0"/>
        <v>366</v>
      </c>
      <c r="O12" s="478"/>
      <c r="S12" s="470">
        <f>S11*8</f>
        <v>2400</v>
      </c>
    </row>
    <row r="13" spans="1:19" ht="21.75" customHeight="1">
      <c r="A13" s="470" t="s">
        <v>339</v>
      </c>
    </row>
    <row r="14" spans="1:19" ht="30.75" customHeight="1"/>
    <row r="15" spans="1:19" ht="30.75" customHeight="1"/>
    <row r="16" spans="1:19" ht="30.75" customHeight="1"/>
    <row r="17" ht="30.75" customHeight="1"/>
    <row r="18" ht="30.75" customHeight="1"/>
    <row r="19" ht="30.75" customHeight="1"/>
    <row r="20" ht="30.75" customHeight="1"/>
    <row r="21" ht="30.75" customHeight="1"/>
    <row r="22" ht="30.75" customHeight="1"/>
    <row r="23" ht="30.75" customHeight="1"/>
    <row r="24" ht="30.75" customHeight="1"/>
    <row r="25" ht="30.75" customHeight="1"/>
    <row r="26" ht="30.75" customHeight="1"/>
    <row r="27" ht="30.75" customHeight="1"/>
    <row r="28" ht="30.75" customHeight="1"/>
    <row r="29" ht="30.75" customHeight="1"/>
    <row r="30" ht="30.75" customHeight="1"/>
    <row r="31" ht="30.75" customHeight="1"/>
    <row r="32" ht="30.75" customHeight="1"/>
    <row r="33" ht="30.75" customHeight="1"/>
    <row r="34" ht="30.75" customHeight="1"/>
    <row r="35" ht="30.75" customHeight="1"/>
    <row r="36" ht="30.75" customHeight="1"/>
    <row r="37" ht="30.75" customHeight="1"/>
    <row r="38" ht="30.75" customHeight="1"/>
    <row r="39" ht="30.75" customHeight="1"/>
    <row r="40" ht="30.75" customHeight="1"/>
    <row r="41" ht="30.75" customHeight="1"/>
    <row r="42" ht="30.75" customHeight="1"/>
    <row r="43" ht="30.75" customHeight="1"/>
    <row r="44" ht="30.75" customHeight="1"/>
    <row r="45" ht="30.75" customHeight="1"/>
    <row r="46" ht="30.75" customHeight="1"/>
    <row r="47" ht="30.75" customHeight="1"/>
    <row r="48" ht="30.75" customHeight="1"/>
    <row r="49" ht="30.75" customHeight="1"/>
  </sheetData>
  <mergeCells count="4">
    <mergeCell ref="N5:N6"/>
    <mergeCell ref="O5:O6"/>
    <mergeCell ref="A5:A6"/>
    <mergeCell ref="B5:M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landscape" r:id="rId1"/>
  <headerFooter alignWithMargins="0">
    <oddFooter>&amp;C&amp;"바탕체,보통"&amp;10- &amp;P -</oddFooter>
  </headerFooter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view="pageBreakPreview" zoomScale="80" zoomScaleSheetLayoutView="80" workbookViewId="0">
      <pane xSplit="1" ySplit="6" topLeftCell="B32" activePane="bottomRight" state="frozen"/>
      <selection pane="topRight" activeCell="B1" sqref="B1"/>
      <selection pane="bottomLeft" activeCell="A7" sqref="A7"/>
      <selection pane="bottomRight" activeCell="AE77" sqref="AE77"/>
    </sheetView>
  </sheetViews>
  <sheetFormatPr defaultColWidth="8" defaultRowHeight="13.5"/>
  <cols>
    <col min="1" max="1" width="6.6640625" style="1103" customWidth="1"/>
    <col min="2" max="8" width="5.109375" style="1103" customWidth="1"/>
    <col min="9" max="12" width="6.5546875" style="1103" customWidth="1"/>
    <col min="13" max="13" width="6.5546875" style="1192" customWidth="1"/>
    <col min="14" max="14" width="30.21875" style="1103" customWidth="1"/>
    <col min="15" max="16384" width="8" style="1103"/>
  </cols>
  <sheetData>
    <row r="1" spans="1:14" s="1102" customFormat="1" ht="44.25" customHeight="1">
      <c r="A1" s="1101" t="s">
        <v>1338</v>
      </c>
      <c r="B1" s="1101"/>
      <c r="C1" s="1166"/>
      <c r="D1" s="1167"/>
      <c r="E1" s="1167"/>
      <c r="F1" s="1167"/>
      <c r="G1" s="1167"/>
      <c r="H1" s="1167"/>
      <c r="I1" s="1167"/>
      <c r="J1" s="1167"/>
      <c r="K1" s="1167"/>
      <c r="L1" s="1167"/>
      <c r="M1" s="1167"/>
      <c r="N1" s="923"/>
    </row>
    <row r="2" spans="1:14" s="1102" customFormat="1" ht="16.5" customHeight="1">
      <c r="A2" s="1101"/>
      <c r="B2" s="1101"/>
      <c r="C2" s="1166"/>
      <c r="D2" s="1167"/>
      <c r="E2" s="1167"/>
      <c r="F2" s="1167"/>
      <c r="G2" s="1167"/>
      <c r="H2" s="1167"/>
      <c r="I2" s="1167"/>
      <c r="J2" s="1167"/>
      <c r="K2" s="1167"/>
      <c r="L2" s="1167"/>
      <c r="M2" s="1167"/>
      <c r="N2" s="923"/>
    </row>
    <row r="3" spans="1:14" s="1102" customFormat="1" ht="16.5">
      <c r="A3" s="1483"/>
      <c r="B3" s="1483"/>
      <c r="C3" s="1483"/>
      <c r="D3" s="1483"/>
      <c r="E3" s="1483"/>
      <c r="F3" s="1483"/>
      <c r="G3" s="1483"/>
      <c r="H3" s="1483"/>
      <c r="I3" s="1483"/>
      <c r="J3" s="1104"/>
      <c r="K3" s="1104"/>
      <c r="L3" s="1104"/>
      <c r="M3" s="1169"/>
    </row>
    <row r="4" spans="1:14" s="1102" customFormat="1" ht="16.5">
      <c r="A4" s="1168"/>
      <c r="B4" s="1168"/>
      <c r="C4" s="1168"/>
      <c r="D4" s="1168"/>
      <c r="E4" s="1168"/>
      <c r="F4" s="1168"/>
      <c r="G4" s="1168"/>
      <c r="H4" s="1168"/>
      <c r="I4" s="1168"/>
      <c r="J4" s="1104"/>
      <c r="K4" s="1104"/>
      <c r="L4" s="1104"/>
      <c r="M4" s="1169"/>
    </row>
    <row r="5" spans="1:14" ht="16.5" customHeight="1">
      <c r="A5" s="1484" t="s">
        <v>346</v>
      </c>
      <c r="B5" s="1486" t="s">
        <v>1310</v>
      </c>
      <c r="C5" s="1486" t="s">
        <v>1311</v>
      </c>
      <c r="D5" s="1486" t="s">
        <v>1312</v>
      </c>
      <c r="E5" s="1486" t="s">
        <v>1313</v>
      </c>
      <c r="F5" s="1486" t="s">
        <v>1314</v>
      </c>
      <c r="G5" s="1486" t="s">
        <v>1315</v>
      </c>
      <c r="H5" s="1488" t="s">
        <v>1316</v>
      </c>
      <c r="I5" s="1486" t="s">
        <v>1317</v>
      </c>
      <c r="J5" s="1486"/>
      <c r="K5" s="1486"/>
      <c r="L5" s="1486"/>
      <c r="M5" s="1486" t="s">
        <v>1123</v>
      </c>
      <c r="N5" s="1490" t="s">
        <v>97</v>
      </c>
    </row>
    <row r="6" spans="1:14" s="1171" customFormat="1" ht="51" customHeight="1">
      <c r="A6" s="1485"/>
      <c r="B6" s="1487"/>
      <c r="C6" s="1487"/>
      <c r="D6" s="1487"/>
      <c r="E6" s="1487"/>
      <c r="F6" s="1487"/>
      <c r="G6" s="1487"/>
      <c r="H6" s="1489"/>
      <c r="I6" s="1170" t="s">
        <v>334</v>
      </c>
      <c r="J6" s="1170" t="s">
        <v>1318</v>
      </c>
      <c r="K6" s="1170" t="s">
        <v>1319</v>
      </c>
      <c r="L6" s="1170" t="s">
        <v>1320</v>
      </c>
      <c r="M6" s="1487"/>
      <c r="N6" s="1491"/>
    </row>
    <row r="7" spans="1:14">
      <c r="A7" s="1492" t="s">
        <v>1321</v>
      </c>
      <c r="B7" s="1173"/>
      <c r="C7" s="1173">
        <v>1</v>
      </c>
      <c r="D7" s="1172">
        <v>2</v>
      </c>
      <c r="E7" s="1172">
        <v>3</v>
      </c>
      <c r="F7" s="1172">
        <v>4</v>
      </c>
      <c r="G7" s="1172">
        <v>5</v>
      </c>
      <c r="H7" s="1172">
        <v>6</v>
      </c>
      <c r="I7" s="1494">
        <v>22</v>
      </c>
      <c r="J7" s="1494">
        <v>4</v>
      </c>
      <c r="K7" s="1494">
        <v>4</v>
      </c>
      <c r="L7" s="1494">
        <v>1</v>
      </c>
      <c r="M7" s="1496">
        <f>SUM(I7:L11)</f>
        <v>31</v>
      </c>
      <c r="N7" s="1498" t="s">
        <v>1322</v>
      </c>
    </row>
    <row r="8" spans="1:14">
      <c r="A8" s="1493"/>
      <c r="B8" s="1174">
        <v>7</v>
      </c>
      <c r="C8" s="1174">
        <v>8</v>
      </c>
      <c r="D8" s="1174">
        <v>9</v>
      </c>
      <c r="E8" s="1174">
        <v>10</v>
      </c>
      <c r="F8" s="1174">
        <v>11</v>
      </c>
      <c r="G8" s="1174">
        <v>12</v>
      </c>
      <c r="H8" s="1174">
        <v>13</v>
      </c>
      <c r="I8" s="1495"/>
      <c r="J8" s="1495"/>
      <c r="K8" s="1495"/>
      <c r="L8" s="1495"/>
      <c r="M8" s="1497"/>
      <c r="N8" s="1499"/>
    </row>
    <row r="9" spans="1:14">
      <c r="A9" s="1493"/>
      <c r="B9" s="1174">
        <v>14</v>
      </c>
      <c r="C9" s="1174">
        <v>15</v>
      </c>
      <c r="D9" s="1174">
        <v>16</v>
      </c>
      <c r="E9" s="1174">
        <v>17</v>
      </c>
      <c r="F9" s="1174">
        <v>18</v>
      </c>
      <c r="G9" s="1174">
        <v>19</v>
      </c>
      <c r="H9" s="1174">
        <v>20</v>
      </c>
      <c r="I9" s="1495"/>
      <c r="J9" s="1495"/>
      <c r="K9" s="1495"/>
      <c r="L9" s="1495"/>
      <c r="M9" s="1497"/>
      <c r="N9" s="1499"/>
    </row>
    <row r="10" spans="1:14">
      <c r="A10" s="1493"/>
      <c r="B10" s="1174">
        <v>21</v>
      </c>
      <c r="C10" s="1174">
        <v>22</v>
      </c>
      <c r="D10" s="1174">
        <v>23</v>
      </c>
      <c r="E10" s="1174">
        <v>24</v>
      </c>
      <c r="F10" s="1174">
        <v>25</v>
      </c>
      <c r="G10" s="1174">
        <v>26</v>
      </c>
      <c r="H10" s="1174">
        <v>27</v>
      </c>
      <c r="I10" s="1495"/>
      <c r="J10" s="1495"/>
      <c r="K10" s="1495"/>
      <c r="L10" s="1495"/>
      <c r="M10" s="1497"/>
      <c r="N10" s="1499"/>
    </row>
    <row r="11" spans="1:14">
      <c r="A11" s="1493"/>
      <c r="B11" s="1176">
        <v>28</v>
      </c>
      <c r="C11" s="1176">
        <v>29</v>
      </c>
      <c r="D11" s="1176">
        <v>30</v>
      </c>
      <c r="E11" s="1176">
        <v>31</v>
      </c>
      <c r="F11" s="1174"/>
      <c r="G11" s="1174"/>
      <c r="H11" s="1174"/>
      <c r="I11" s="1495"/>
      <c r="J11" s="1495"/>
      <c r="K11" s="1495"/>
      <c r="L11" s="1495"/>
      <c r="M11" s="1497"/>
      <c r="N11" s="1499"/>
    </row>
    <row r="12" spans="1:14" ht="13.5" customHeight="1">
      <c r="A12" s="1503" t="s">
        <v>1323</v>
      </c>
      <c r="B12" s="1172"/>
      <c r="F12" s="1175">
        <v>1</v>
      </c>
      <c r="G12" s="1175">
        <v>2</v>
      </c>
      <c r="H12" s="1175">
        <v>3</v>
      </c>
      <c r="I12" s="1506">
        <v>19</v>
      </c>
      <c r="J12" s="1506">
        <v>4</v>
      </c>
      <c r="K12" s="1506">
        <v>4</v>
      </c>
      <c r="L12" s="1506">
        <v>2</v>
      </c>
      <c r="M12" s="1508">
        <f>SUM(I12:L16)</f>
        <v>29</v>
      </c>
      <c r="N12" s="1500" t="s">
        <v>1341</v>
      </c>
    </row>
    <row r="13" spans="1:14">
      <c r="A13" s="1504"/>
      <c r="B13" s="1184">
        <v>4</v>
      </c>
      <c r="C13" s="1184">
        <v>5</v>
      </c>
      <c r="D13" s="1184">
        <v>6</v>
      </c>
      <c r="E13" s="1184">
        <v>7</v>
      </c>
      <c r="F13" s="1184">
        <v>8</v>
      </c>
      <c r="G13" s="1185">
        <v>9</v>
      </c>
      <c r="H13" s="1186">
        <v>10</v>
      </c>
      <c r="I13" s="1495"/>
      <c r="J13" s="1495"/>
      <c r="K13" s="1495"/>
      <c r="L13" s="1495"/>
      <c r="M13" s="1497"/>
      <c r="N13" s="1501"/>
    </row>
    <row r="14" spans="1:14">
      <c r="A14" s="1504"/>
      <c r="B14" s="1180">
        <v>11</v>
      </c>
      <c r="C14" s="1185">
        <v>12</v>
      </c>
      <c r="D14" s="1180">
        <v>13</v>
      </c>
      <c r="E14" s="1184">
        <v>14</v>
      </c>
      <c r="F14" s="1180">
        <v>15</v>
      </c>
      <c r="G14" s="1184">
        <v>16</v>
      </c>
      <c r="H14" s="1180">
        <v>17</v>
      </c>
      <c r="I14" s="1495"/>
      <c r="J14" s="1495"/>
      <c r="K14" s="1495"/>
      <c r="L14" s="1495"/>
      <c r="M14" s="1497"/>
      <c r="N14" s="1501"/>
    </row>
    <row r="15" spans="1:14">
      <c r="A15" s="1504"/>
      <c r="B15" s="1180">
        <v>18</v>
      </c>
      <c r="C15" s="1184">
        <v>19</v>
      </c>
      <c r="D15" s="1184">
        <v>20</v>
      </c>
      <c r="E15" s="1184">
        <v>21</v>
      </c>
      <c r="F15" s="1184">
        <v>22</v>
      </c>
      <c r="G15" s="1184">
        <v>23</v>
      </c>
      <c r="H15" s="1180">
        <v>24</v>
      </c>
      <c r="I15" s="1495"/>
      <c r="J15" s="1495"/>
      <c r="K15" s="1495"/>
      <c r="L15" s="1495"/>
      <c r="M15" s="1497"/>
      <c r="N15" s="1501"/>
    </row>
    <row r="16" spans="1:14">
      <c r="A16" s="1511"/>
      <c r="B16" s="1180">
        <v>25</v>
      </c>
      <c r="C16" s="1184">
        <v>26</v>
      </c>
      <c r="D16" s="1180">
        <v>27</v>
      </c>
      <c r="E16" s="1184">
        <v>28</v>
      </c>
      <c r="F16" s="1180">
        <v>29</v>
      </c>
      <c r="G16" s="1176"/>
      <c r="H16" s="1176"/>
      <c r="I16" s="1512"/>
      <c r="J16" s="1512"/>
      <c r="K16" s="1512"/>
      <c r="L16" s="1512"/>
      <c r="M16" s="1513"/>
      <c r="N16" s="1502"/>
    </row>
    <row r="17" spans="1:14">
      <c r="A17" s="1503" t="s">
        <v>1324</v>
      </c>
      <c r="B17" s="1177"/>
      <c r="C17" s="1178"/>
      <c r="D17" s="1179"/>
      <c r="E17" s="1179"/>
      <c r="F17" s="1178"/>
      <c r="G17" s="1178">
        <v>1</v>
      </c>
      <c r="H17" s="1179">
        <v>2</v>
      </c>
      <c r="I17" s="1506">
        <v>20</v>
      </c>
      <c r="J17" s="1506">
        <v>5</v>
      </c>
      <c r="K17" s="1506">
        <v>5</v>
      </c>
      <c r="L17" s="1506">
        <v>1</v>
      </c>
      <c r="M17" s="1508">
        <f>SUM(I17:L22)</f>
        <v>31</v>
      </c>
      <c r="N17" s="1498" t="s">
        <v>1325</v>
      </c>
    </row>
    <row r="18" spans="1:14">
      <c r="A18" s="1504"/>
      <c r="B18" s="1180">
        <v>3</v>
      </c>
      <c r="C18" s="1180">
        <v>4</v>
      </c>
      <c r="D18" s="1180">
        <v>5</v>
      </c>
      <c r="E18" s="1180">
        <v>6</v>
      </c>
      <c r="F18" s="1180">
        <v>7</v>
      </c>
      <c r="G18" s="1180">
        <v>8</v>
      </c>
      <c r="H18" s="1180">
        <v>9</v>
      </c>
      <c r="I18" s="1495"/>
      <c r="J18" s="1495"/>
      <c r="K18" s="1495"/>
      <c r="L18" s="1495"/>
      <c r="M18" s="1497"/>
      <c r="N18" s="1499"/>
    </row>
    <row r="19" spans="1:14">
      <c r="A19" s="1504"/>
      <c r="B19" s="1180">
        <v>10</v>
      </c>
      <c r="C19" s="1180">
        <v>11</v>
      </c>
      <c r="D19" s="1180">
        <v>12</v>
      </c>
      <c r="E19" s="1180">
        <v>13</v>
      </c>
      <c r="F19" s="1180">
        <v>14</v>
      </c>
      <c r="G19" s="1180">
        <v>15</v>
      </c>
      <c r="H19" s="1180">
        <v>16</v>
      </c>
      <c r="I19" s="1495"/>
      <c r="J19" s="1495"/>
      <c r="K19" s="1495"/>
      <c r="L19" s="1495"/>
      <c r="M19" s="1497"/>
      <c r="N19" s="1499"/>
    </row>
    <row r="20" spans="1:14">
      <c r="A20" s="1504"/>
      <c r="B20" s="1180">
        <v>17</v>
      </c>
      <c r="C20" s="1180">
        <v>18</v>
      </c>
      <c r="D20" s="1180">
        <v>19</v>
      </c>
      <c r="E20" s="1180">
        <v>20</v>
      </c>
      <c r="F20" s="1180">
        <v>21</v>
      </c>
      <c r="G20" s="1180">
        <v>22</v>
      </c>
      <c r="H20" s="1180">
        <v>23</v>
      </c>
      <c r="I20" s="1495"/>
      <c r="J20" s="1495"/>
      <c r="K20" s="1495"/>
      <c r="L20" s="1495"/>
      <c r="M20" s="1497"/>
      <c r="N20" s="1499"/>
    </row>
    <row r="21" spans="1:14">
      <c r="A21" s="1505"/>
      <c r="B21" s="1180">
        <v>24</v>
      </c>
      <c r="C21" s="1180">
        <v>25</v>
      </c>
      <c r="D21" s="1180">
        <v>26</v>
      </c>
      <c r="E21" s="1180">
        <v>27</v>
      </c>
      <c r="F21" s="1180">
        <v>28</v>
      </c>
      <c r="G21" s="1180">
        <v>29</v>
      </c>
      <c r="H21" s="1180">
        <v>30</v>
      </c>
      <c r="I21" s="1507"/>
      <c r="J21" s="1507"/>
      <c r="K21" s="1507"/>
      <c r="L21" s="1507"/>
      <c r="M21" s="1509"/>
      <c r="N21" s="1499"/>
    </row>
    <row r="22" spans="1:14">
      <c r="A22" s="1505"/>
      <c r="B22" s="1181">
        <v>31</v>
      </c>
      <c r="C22" s="1181"/>
      <c r="D22" s="1181"/>
      <c r="E22" s="1181"/>
      <c r="F22" s="1181"/>
      <c r="G22" s="1181"/>
      <c r="H22" s="1181"/>
      <c r="I22" s="1507"/>
      <c r="J22" s="1507"/>
      <c r="K22" s="1507"/>
      <c r="L22" s="1507"/>
      <c r="M22" s="1509"/>
      <c r="N22" s="1510"/>
    </row>
    <row r="23" spans="1:14">
      <c r="A23" s="1503" t="s">
        <v>1326</v>
      </c>
      <c r="B23" s="1177"/>
      <c r="C23" s="1177">
        <v>1</v>
      </c>
      <c r="D23" s="1177">
        <v>2</v>
      </c>
      <c r="E23" s="1177">
        <v>3</v>
      </c>
      <c r="F23" s="1177">
        <v>4</v>
      </c>
      <c r="G23" s="1177">
        <v>5</v>
      </c>
      <c r="H23" s="1177">
        <v>6</v>
      </c>
      <c r="I23" s="1506">
        <v>22</v>
      </c>
      <c r="J23" s="1506">
        <v>4</v>
      </c>
      <c r="K23" s="1506">
        <v>4</v>
      </c>
      <c r="L23" s="1506">
        <v>0</v>
      </c>
      <c r="M23" s="1508">
        <f>SUM(I23:L27)</f>
        <v>30</v>
      </c>
      <c r="N23" s="1514"/>
    </row>
    <row r="24" spans="1:14">
      <c r="A24" s="1504"/>
      <c r="B24" s="1180">
        <v>7</v>
      </c>
      <c r="C24" s="1180">
        <v>8</v>
      </c>
      <c r="D24" s="1180">
        <v>9</v>
      </c>
      <c r="E24" s="1180">
        <v>10</v>
      </c>
      <c r="F24" s="1180">
        <v>11</v>
      </c>
      <c r="G24" s="1180">
        <v>12</v>
      </c>
      <c r="H24" s="1180">
        <v>13</v>
      </c>
      <c r="I24" s="1495"/>
      <c r="J24" s="1495"/>
      <c r="K24" s="1495"/>
      <c r="L24" s="1495"/>
      <c r="M24" s="1497"/>
      <c r="N24" s="1515"/>
    </row>
    <row r="25" spans="1:14">
      <c r="A25" s="1504"/>
      <c r="B25" s="1180">
        <v>14</v>
      </c>
      <c r="C25" s="1180">
        <v>15</v>
      </c>
      <c r="D25" s="1180">
        <v>16</v>
      </c>
      <c r="E25" s="1180">
        <v>17</v>
      </c>
      <c r="F25" s="1180">
        <v>18</v>
      </c>
      <c r="G25" s="1180">
        <v>19</v>
      </c>
      <c r="H25" s="1180">
        <v>20</v>
      </c>
      <c r="I25" s="1495"/>
      <c r="J25" s="1495"/>
      <c r="K25" s="1495"/>
      <c r="L25" s="1495"/>
      <c r="M25" s="1497"/>
      <c r="N25" s="1515"/>
    </row>
    <row r="26" spans="1:14">
      <c r="A26" s="1504"/>
      <c r="B26" s="1180">
        <v>21</v>
      </c>
      <c r="C26" s="1180">
        <v>22</v>
      </c>
      <c r="D26" s="1180">
        <v>23</v>
      </c>
      <c r="E26" s="1180">
        <v>24</v>
      </c>
      <c r="F26" s="1180">
        <v>25</v>
      </c>
      <c r="G26" s="1180">
        <v>26</v>
      </c>
      <c r="H26" s="1180">
        <v>27</v>
      </c>
      <c r="I26" s="1495"/>
      <c r="J26" s="1495"/>
      <c r="K26" s="1495"/>
      <c r="L26" s="1495"/>
      <c r="M26" s="1497"/>
      <c r="N26" s="1515"/>
    </row>
    <row r="27" spans="1:14">
      <c r="A27" s="1505"/>
      <c r="B27" s="1180">
        <v>28</v>
      </c>
      <c r="C27" s="1180">
        <v>29</v>
      </c>
      <c r="D27" s="1180">
        <v>30</v>
      </c>
      <c r="E27" s="1184"/>
      <c r="F27" s="1184"/>
      <c r="G27" s="1184"/>
      <c r="H27" s="1180"/>
      <c r="I27" s="1507"/>
      <c r="J27" s="1507"/>
      <c r="K27" s="1507"/>
      <c r="L27" s="1507"/>
      <c r="M27" s="1509"/>
      <c r="N27" s="1515"/>
    </row>
    <row r="28" spans="1:14" ht="13.5" customHeight="1">
      <c r="A28" s="1492" t="s">
        <v>1327</v>
      </c>
      <c r="B28" s="1179"/>
      <c r="C28" s="1183"/>
      <c r="D28" s="1182"/>
      <c r="E28" s="1194">
        <v>1</v>
      </c>
      <c r="F28" s="1182">
        <v>2</v>
      </c>
      <c r="G28" s="1182">
        <v>3</v>
      </c>
      <c r="H28" s="1182">
        <v>4</v>
      </c>
      <c r="I28" s="1506">
        <v>21</v>
      </c>
      <c r="J28" s="1506">
        <v>4</v>
      </c>
      <c r="K28" s="1506">
        <v>4</v>
      </c>
      <c r="L28" s="1506">
        <v>2</v>
      </c>
      <c r="M28" s="1508">
        <f>SUM(I28:L32)</f>
        <v>31</v>
      </c>
      <c r="N28" s="1500" t="s">
        <v>1340</v>
      </c>
    </row>
    <row r="29" spans="1:14" ht="13.5" customHeight="1">
      <c r="A29" s="1493"/>
      <c r="B29" s="1186">
        <v>5</v>
      </c>
      <c r="C29" s="1180">
        <v>6</v>
      </c>
      <c r="D29" s="1180">
        <v>7</v>
      </c>
      <c r="E29" s="1180">
        <v>8</v>
      </c>
      <c r="F29" s="1180">
        <v>9</v>
      </c>
      <c r="G29" s="1180">
        <v>10</v>
      </c>
      <c r="H29" s="1180">
        <v>11</v>
      </c>
      <c r="I29" s="1495"/>
      <c r="J29" s="1495"/>
      <c r="K29" s="1495"/>
      <c r="L29" s="1495"/>
      <c r="M29" s="1497"/>
      <c r="N29" s="1501"/>
    </row>
    <row r="30" spans="1:14" ht="13.5" customHeight="1">
      <c r="A30" s="1493"/>
      <c r="B30" s="1180">
        <v>12</v>
      </c>
      <c r="C30" s="1180">
        <v>13</v>
      </c>
      <c r="D30" s="1180">
        <v>14</v>
      </c>
      <c r="E30" s="1186">
        <v>15</v>
      </c>
      <c r="F30" s="1180">
        <v>16</v>
      </c>
      <c r="G30" s="1180">
        <v>17</v>
      </c>
      <c r="H30" s="1180">
        <v>18</v>
      </c>
      <c r="I30" s="1495"/>
      <c r="J30" s="1495"/>
      <c r="K30" s="1495"/>
      <c r="L30" s="1495"/>
      <c r="M30" s="1497"/>
      <c r="N30" s="1501"/>
    </row>
    <row r="31" spans="1:14" ht="13.5" customHeight="1">
      <c r="A31" s="1493"/>
      <c r="B31" s="1180">
        <v>19</v>
      </c>
      <c r="C31" s="1180">
        <v>20</v>
      </c>
      <c r="D31" s="1180">
        <v>21</v>
      </c>
      <c r="E31" s="1180">
        <v>22</v>
      </c>
      <c r="F31" s="1180">
        <v>23</v>
      </c>
      <c r="G31" s="1180">
        <v>24</v>
      </c>
      <c r="H31" s="1180">
        <v>25</v>
      </c>
      <c r="I31" s="1495"/>
      <c r="J31" s="1495"/>
      <c r="K31" s="1495"/>
      <c r="L31" s="1495"/>
      <c r="M31" s="1497"/>
      <c r="N31" s="1501"/>
    </row>
    <row r="32" spans="1:14" ht="13.5" customHeight="1">
      <c r="A32" s="1493"/>
      <c r="B32" s="1180">
        <v>26</v>
      </c>
      <c r="C32" s="1180">
        <v>27</v>
      </c>
      <c r="D32" s="1180">
        <v>28</v>
      </c>
      <c r="E32" s="1180">
        <v>29</v>
      </c>
      <c r="F32" s="1180">
        <v>30</v>
      </c>
      <c r="G32" s="1180">
        <v>31</v>
      </c>
      <c r="H32" s="1180"/>
      <c r="I32" s="1495"/>
      <c r="J32" s="1495"/>
      <c r="K32" s="1495"/>
      <c r="L32" s="1495"/>
      <c r="M32" s="1497"/>
      <c r="N32" s="1501"/>
    </row>
    <row r="33" spans="1:14" ht="13.5" customHeight="1">
      <c r="A33" s="1503" t="s">
        <v>1328</v>
      </c>
      <c r="B33" s="1177"/>
      <c r="C33" s="1177"/>
      <c r="D33" s="1177"/>
      <c r="E33" s="1183"/>
      <c r="F33" s="1183"/>
      <c r="G33" s="1182"/>
      <c r="H33" s="1179">
        <v>1</v>
      </c>
      <c r="I33" s="1506">
        <v>19</v>
      </c>
      <c r="J33" s="1506">
        <v>5</v>
      </c>
      <c r="K33" s="1506">
        <v>5</v>
      </c>
      <c r="L33" s="1506">
        <v>1</v>
      </c>
      <c r="M33" s="1508">
        <f>SUM(I33:L38)</f>
        <v>30</v>
      </c>
      <c r="N33" s="1498" t="s">
        <v>1329</v>
      </c>
    </row>
    <row r="34" spans="1:14" ht="13.5" customHeight="1">
      <c r="A34" s="1504"/>
      <c r="B34" s="1180">
        <v>2</v>
      </c>
      <c r="C34" s="1180">
        <v>3</v>
      </c>
      <c r="D34" s="1180">
        <v>4</v>
      </c>
      <c r="E34" s="1180">
        <v>5</v>
      </c>
      <c r="F34" s="1186">
        <v>6</v>
      </c>
      <c r="G34" s="1180">
        <v>7</v>
      </c>
      <c r="H34" s="1180">
        <v>8</v>
      </c>
      <c r="I34" s="1495"/>
      <c r="J34" s="1495"/>
      <c r="K34" s="1495"/>
      <c r="L34" s="1495"/>
      <c r="M34" s="1497"/>
      <c r="N34" s="1499"/>
    </row>
    <row r="35" spans="1:14" ht="13.5" customHeight="1">
      <c r="A35" s="1504"/>
      <c r="B35" s="1180">
        <v>9</v>
      </c>
      <c r="C35" s="1180">
        <v>10</v>
      </c>
      <c r="D35" s="1180">
        <v>11</v>
      </c>
      <c r="E35" s="1180">
        <v>12</v>
      </c>
      <c r="F35" s="1180">
        <v>13</v>
      </c>
      <c r="G35" s="1180">
        <v>14</v>
      </c>
      <c r="H35" s="1180">
        <v>15</v>
      </c>
      <c r="I35" s="1495"/>
      <c r="J35" s="1495"/>
      <c r="K35" s="1495"/>
      <c r="L35" s="1495"/>
      <c r="M35" s="1497"/>
      <c r="N35" s="1499"/>
    </row>
    <row r="36" spans="1:14" ht="13.5" customHeight="1">
      <c r="A36" s="1504"/>
      <c r="B36" s="1180">
        <v>16</v>
      </c>
      <c r="C36" s="1180">
        <v>17</v>
      </c>
      <c r="D36" s="1180">
        <v>18</v>
      </c>
      <c r="E36" s="1180">
        <v>19</v>
      </c>
      <c r="F36" s="1180">
        <v>20</v>
      </c>
      <c r="G36" s="1180">
        <v>21</v>
      </c>
      <c r="H36" s="1180">
        <v>22</v>
      </c>
      <c r="I36" s="1495"/>
      <c r="J36" s="1495"/>
      <c r="K36" s="1495"/>
      <c r="L36" s="1495"/>
      <c r="M36" s="1497"/>
      <c r="N36" s="1499"/>
    </row>
    <row r="37" spans="1:14" ht="13.5" customHeight="1">
      <c r="A37" s="1505"/>
      <c r="B37" s="1180">
        <v>23</v>
      </c>
      <c r="C37" s="1180">
        <v>24</v>
      </c>
      <c r="D37" s="1180">
        <v>25</v>
      </c>
      <c r="E37" s="1180">
        <v>26</v>
      </c>
      <c r="F37" s="1180">
        <v>27</v>
      </c>
      <c r="G37" s="1180">
        <v>28</v>
      </c>
      <c r="H37" s="1180">
        <v>29</v>
      </c>
      <c r="I37" s="1507"/>
      <c r="J37" s="1507"/>
      <c r="K37" s="1507"/>
      <c r="L37" s="1507"/>
      <c r="M37" s="1509"/>
      <c r="N37" s="1499"/>
    </row>
    <row r="38" spans="1:14" ht="13.5" customHeight="1">
      <c r="A38" s="1511"/>
      <c r="B38" s="1180">
        <v>30</v>
      </c>
      <c r="C38" s="1180"/>
      <c r="D38" s="1180"/>
      <c r="E38" s="1180"/>
      <c r="F38" s="1180"/>
      <c r="G38" s="1180"/>
      <c r="H38" s="1180"/>
      <c r="I38" s="1512"/>
      <c r="J38" s="1512"/>
      <c r="K38" s="1512"/>
      <c r="L38" s="1512"/>
      <c r="M38" s="1513"/>
      <c r="N38" s="1510"/>
    </row>
    <row r="39" spans="1:14" ht="13.5" customHeight="1">
      <c r="A39" s="1503" t="s">
        <v>1330</v>
      </c>
      <c r="B39" s="1173"/>
      <c r="C39" s="1173">
        <v>1</v>
      </c>
      <c r="D39" s="1172">
        <v>2</v>
      </c>
      <c r="E39" s="1172">
        <v>3</v>
      </c>
      <c r="F39" s="1172">
        <v>4</v>
      </c>
      <c r="G39" s="1172">
        <v>5</v>
      </c>
      <c r="H39" s="1172">
        <v>6</v>
      </c>
      <c r="I39" s="1506">
        <v>23</v>
      </c>
      <c r="J39" s="1506">
        <v>4</v>
      </c>
      <c r="K39" s="1506">
        <v>4</v>
      </c>
      <c r="L39" s="1506">
        <v>0</v>
      </c>
      <c r="M39" s="1508">
        <f>SUM(I39:L43)</f>
        <v>31</v>
      </c>
      <c r="N39" s="1514"/>
    </row>
    <row r="40" spans="1:14" ht="13.5" customHeight="1">
      <c r="A40" s="1504"/>
      <c r="B40" s="1174">
        <v>7</v>
      </c>
      <c r="C40" s="1174">
        <v>8</v>
      </c>
      <c r="D40" s="1174">
        <v>9</v>
      </c>
      <c r="E40" s="1174">
        <v>10</v>
      </c>
      <c r="F40" s="1174">
        <v>11</v>
      </c>
      <c r="G40" s="1174">
        <v>12</v>
      </c>
      <c r="H40" s="1174">
        <v>13</v>
      </c>
      <c r="I40" s="1495"/>
      <c r="J40" s="1495"/>
      <c r="K40" s="1495"/>
      <c r="L40" s="1495"/>
      <c r="M40" s="1497"/>
      <c r="N40" s="1515"/>
    </row>
    <row r="41" spans="1:14" ht="13.5" customHeight="1">
      <c r="A41" s="1504"/>
      <c r="B41" s="1174">
        <v>14</v>
      </c>
      <c r="C41" s="1174">
        <v>15</v>
      </c>
      <c r="D41" s="1174">
        <v>16</v>
      </c>
      <c r="E41" s="1174">
        <v>17</v>
      </c>
      <c r="F41" s="1174">
        <v>18</v>
      </c>
      <c r="G41" s="1174">
        <v>19</v>
      </c>
      <c r="H41" s="1174">
        <v>20</v>
      </c>
      <c r="I41" s="1495"/>
      <c r="J41" s="1495"/>
      <c r="K41" s="1495"/>
      <c r="L41" s="1495"/>
      <c r="M41" s="1497"/>
      <c r="N41" s="1515"/>
    </row>
    <row r="42" spans="1:14" ht="13.5" customHeight="1">
      <c r="A42" s="1504"/>
      <c r="B42" s="1174">
        <v>21</v>
      </c>
      <c r="C42" s="1174">
        <v>22</v>
      </c>
      <c r="D42" s="1174">
        <v>23</v>
      </c>
      <c r="E42" s="1174">
        <v>24</v>
      </c>
      <c r="F42" s="1174">
        <v>25</v>
      </c>
      <c r="G42" s="1174">
        <v>26</v>
      </c>
      <c r="H42" s="1174">
        <v>27</v>
      </c>
      <c r="I42" s="1495"/>
      <c r="J42" s="1495"/>
      <c r="K42" s="1495"/>
      <c r="L42" s="1495"/>
      <c r="M42" s="1497"/>
      <c r="N42" s="1515"/>
    </row>
    <row r="43" spans="1:14" ht="13.5" customHeight="1">
      <c r="A43" s="1504"/>
      <c r="B43" s="1176">
        <v>28</v>
      </c>
      <c r="C43" s="1176">
        <v>29</v>
      </c>
      <c r="D43" s="1176">
        <v>30</v>
      </c>
      <c r="E43" s="1176">
        <v>31</v>
      </c>
      <c r="F43" s="1174"/>
      <c r="G43" s="1174"/>
      <c r="H43" s="1174"/>
      <c r="I43" s="1495"/>
      <c r="J43" s="1495"/>
      <c r="K43" s="1495"/>
      <c r="L43" s="1495"/>
      <c r="M43" s="1497"/>
      <c r="N43" s="1516"/>
    </row>
    <row r="44" spans="1:14" ht="13.5" customHeight="1">
      <c r="A44" s="1503" t="s">
        <v>1331</v>
      </c>
      <c r="B44" s="1172"/>
      <c r="F44" s="1175">
        <v>1</v>
      </c>
      <c r="G44" s="1175">
        <v>2</v>
      </c>
      <c r="H44" s="1175">
        <v>3</v>
      </c>
      <c r="I44" s="1506">
        <v>21</v>
      </c>
      <c r="J44" s="1506">
        <v>5</v>
      </c>
      <c r="K44" s="1506">
        <v>4</v>
      </c>
      <c r="L44" s="1506">
        <v>1</v>
      </c>
      <c r="M44" s="1508">
        <f>SUM(I44:L48)</f>
        <v>31</v>
      </c>
      <c r="N44" s="1498" t="s">
        <v>1332</v>
      </c>
    </row>
    <row r="45" spans="1:14" ht="13.5" customHeight="1">
      <c r="A45" s="1504"/>
      <c r="B45" s="1184">
        <v>4</v>
      </c>
      <c r="C45" s="1184">
        <v>5</v>
      </c>
      <c r="D45" s="1184">
        <v>6</v>
      </c>
      <c r="E45" s="1184">
        <v>7</v>
      </c>
      <c r="F45" s="1184">
        <v>8</v>
      </c>
      <c r="G45" s="1184">
        <v>9</v>
      </c>
      <c r="H45" s="1180">
        <v>10</v>
      </c>
      <c r="I45" s="1495"/>
      <c r="J45" s="1495"/>
      <c r="K45" s="1495"/>
      <c r="L45" s="1495"/>
      <c r="M45" s="1497"/>
      <c r="N45" s="1499"/>
    </row>
    <row r="46" spans="1:14" ht="13.5" customHeight="1">
      <c r="A46" s="1504"/>
      <c r="B46" s="1180">
        <v>11</v>
      </c>
      <c r="C46" s="1184">
        <v>12</v>
      </c>
      <c r="D46" s="1180">
        <v>13</v>
      </c>
      <c r="E46" s="1184">
        <v>14</v>
      </c>
      <c r="F46" s="1186">
        <v>15</v>
      </c>
      <c r="G46" s="1184">
        <v>16</v>
      </c>
      <c r="H46" s="1180">
        <v>17</v>
      </c>
      <c r="I46" s="1495"/>
      <c r="J46" s="1495"/>
      <c r="K46" s="1495"/>
      <c r="L46" s="1495"/>
      <c r="M46" s="1497"/>
      <c r="N46" s="1499"/>
    </row>
    <row r="47" spans="1:14" ht="13.5" customHeight="1">
      <c r="A47" s="1504"/>
      <c r="B47" s="1180">
        <v>18</v>
      </c>
      <c r="C47" s="1184">
        <v>19</v>
      </c>
      <c r="D47" s="1184">
        <v>20</v>
      </c>
      <c r="E47" s="1184">
        <v>21</v>
      </c>
      <c r="F47" s="1184">
        <v>22</v>
      </c>
      <c r="G47" s="1184">
        <v>23</v>
      </c>
      <c r="H47" s="1180">
        <v>24</v>
      </c>
      <c r="I47" s="1495"/>
      <c r="J47" s="1495"/>
      <c r="K47" s="1495"/>
      <c r="L47" s="1495"/>
      <c r="M47" s="1497"/>
      <c r="N47" s="1499"/>
    </row>
    <row r="48" spans="1:14" ht="13.5" customHeight="1">
      <c r="A48" s="1504"/>
      <c r="B48" s="1180">
        <v>25</v>
      </c>
      <c r="C48" s="1184">
        <v>26</v>
      </c>
      <c r="D48" s="1180">
        <v>27</v>
      </c>
      <c r="E48" s="1184">
        <v>28</v>
      </c>
      <c r="F48" s="1180">
        <v>29</v>
      </c>
      <c r="G48" s="1176">
        <v>30</v>
      </c>
      <c r="H48" s="1176">
        <v>31</v>
      </c>
      <c r="I48" s="1495"/>
      <c r="J48" s="1495"/>
      <c r="K48" s="1495"/>
      <c r="L48" s="1495"/>
      <c r="M48" s="1497"/>
      <c r="N48" s="1510"/>
    </row>
    <row r="49" spans="1:14" ht="13.5" customHeight="1">
      <c r="A49" s="1503" t="s">
        <v>1333</v>
      </c>
      <c r="B49" s="1177">
        <v>1</v>
      </c>
      <c r="C49" s="1177">
        <v>2</v>
      </c>
      <c r="D49" s="1177">
        <v>3</v>
      </c>
      <c r="E49" s="1177">
        <v>4</v>
      </c>
      <c r="F49" s="1177">
        <v>5</v>
      </c>
      <c r="G49" s="1177">
        <v>6</v>
      </c>
      <c r="H49" s="1177">
        <v>7</v>
      </c>
      <c r="I49" s="1506">
        <v>18</v>
      </c>
      <c r="J49" s="1506">
        <v>4</v>
      </c>
      <c r="K49" s="1506">
        <v>5</v>
      </c>
      <c r="L49" s="1506">
        <v>3</v>
      </c>
      <c r="M49" s="1508">
        <f>SUM(I49:L53)</f>
        <v>30</v>
      </c>
      <c r="N49" s="1500" t="s">
        <v>1339</v>
      </c>
    </row>
    <row r="50" spans="1:14" ht="13.5" customHeight="1">
      <c r="A50" s="1504"/>
      <c r="B50" s="1180">
        <v>8</v>
      </c>
      <c r="C50" s="1180">
        <v>9</v>
      </c>
      <c r="D50" s="1180">
        <v>10</v>
      </c>
      <c r="E50" s="1180">
        <v>11</v>
      </c>
      <c r="F50" s="1180">
        <v>12</v>
      </c>
      <c r="G50" s="1180">
        <v>13</v>
      </c>
      <c r="H50" s="1180">
        <v>14</v>
      </c>
      <c r="I50" s="1495"/>
      <c r="J50" s="1495"/>
      <c r="K50" s="1495"/>
      <c r="L50" s="1495"/>
      <c r="M50" s="1497"/>
      <c r="N50" s="1501"/>
    </row>
    <row r="51" spans="1:14" ht="13.5" customHeight="1">
      <c r="A51" s="1504"/>
      <c r="B51" s="1180">
        <v>15</v>
      </c>
      <c r="C51" s="1186">
        <v>16</v>
      </c>
      <c r="D51" s="1186">
        <v>17</v>
      </c>
      <c r="E51" s="1186">
        <v>18</v>
      </c>
      <c r="F51" s="1180">
        <v>19</v>
      </c>
      <c r="G51" s="1180">
        <v>20</v>
      </c>
      <c r="H51" s="1180">
        <v>21</v>
      </c>
      <c r="I51" s="1495"/>
      <c r="J51" s="1495"/>
      <c r="K51" s="1495"/>
      <c r="L51" s="1495"/>
      <c r="M51" s="1497"/>
      <c r="N51" s="1501"/>
    </row>
    <row r="52" spans="1:14" ht="13.5" customHeight="1">
      <c r="A52" s="1504"/>
      <c r="B52" s="1180">
        <v>22</v>
      </c>
      <c r="C52" s="1180">
        <v>23</v>
      </c>
      <c r="D52" s="1180">
        <v>24</v>
      </c>
      <c r="E52" s="1180">
        <v>25</v>
      </c>
      <c r="F52" s="1180">
        <v>26</v>
      </c>
      <c r="G52" s="1180">
        <v>27</v>
      </c>
      <c r="H52" s="1180">
        <v>28</v>
      </c>
      <c r="I52" s="1495"/>
      <c r="J52" s="1495"/>
      <c r="K52" s="1495"/>
      <c r="L52" s="1495"/>
      <c r="M52" s="1497"/>
      <c r="N52" s="1501"/>
    </row>
    <row r="53" spans="1:14" ht="13.5" customHeight="1">
      <c r="A53" s="1511"/>
      <c r="B53" s="1180">
        <v>29</v>
      </c>
      <c r="C53" s="1184">
        <v>30</v>
      </c>
      <c r="D53" s="1184"/>
      <c r="E53" s="1180"/>
      <c r="F53" s="1180"/>
      <c r="G53" s="1180"/>
      <c r="H53" s="1180"/>
      <c r="I53" s="1512"/>
      <c r="J53" s="1512"/>
      <c r="K53" s="1512"/>
      <c r="L53" s="1512"/>
      <c r="M53" s="1513"/>
      <c r="N53" s="1502"/>
    </row>
    <row r="54" spans="1:14" ht="13.5" customHeight="1">
      <c r="A54" s="1492" t="s">
        <v>129</v>
      </c>
      <c r="B54" s="1177"/>
      <c r="C54" s="1183"/>
      <c r="D54" s="1182">
        <v>1</v>
      </c>
      <c r="E54" s="1182">
        <v>2</v>
      </c>
      <c r="F54" s="1194">
        <v>3</v>
      </c>
      <c r="G54" s="1182">
        <v>4</v>
      </c>
      <c r="H54" s="1182">
        <v>5</v>
      </c>
      <c r="I54" s="1517">
        <v>21</v>
      </c>
      <c r="J54" s="1517">
        <v>4</v>
      </c>
      <c r="K54" s="1517">
        <v>4</v>
      </c>
      <c r="L54" s="1517">
        <v>2</v>
      </c>
      <c r="M54" s="1519">
        <f>SUM(I54:L58)</f>
        <v>31</v>
      </c>
      <c r="N54" s="1500" t="s">
        <v>1334</v>
      </c>
    </row>
    <row r="55" spans="1:14" ht="13.5" customHeight="1">
      <c r="A55" s="1493"/>
      <c r="B55" s="1180">
        <v>6</v>
      </c>
      <c r="C55" s="1180">
        <v>7</v>
      </c>
      <c r="D55" s="1180">
        <v>8</v>
      </c>
      <c r="E55" s="1186">
        <v>9</v>
      </c>
      <c r="F55" s="1180">
        <v>10</v>
      </c>
      <c r="G55" s="1180">
        <v>11</v>
      </c>
      <c r="H55" s="1180">
        <v>12</v>
      </c>
      <c r="I55" s="1518"/>
      <c r="J55" s="1518"/>
      <c r="K55" s="1518"/>
      <c r="L55" s="1518"/>
      <c r="M55" s="1520"/>
      <c r="N55" s="1501"/>
    </row>
    <row r="56" spans="1:14" ht="13.5" customHeight="1">
      <c r="A56" s="1493"/>
      <c r="B56" s="1180">
        <v>13</v>
      </c>
      <c r="C56" s="1180">
        <v>14</v>
      </c>
      <c r="D56" s="1180">
        <v>15</v>
      </c>
      <c r="E56" s="1180">
        <v>16</v>
      </c>
      <c r="F56" s="1180">
        <v>17</v>
      </c>
      <c r="G56" s="1180">
        <v>18</v>
      </c>
      <c r="H56" s="1180">
        <v>19</v>
      </c>
      <c r="I56" s="1518"/>
      <c r="J56" s="1518"/>
      <c r="K56" s="1518"/>
      <c r="L56" s="1518"/>
      <c r="M56" s="1520"/>
      <c r="N56" s="1501"/>
    </row>
    <row r="57" spans="1:14" ht="13.5" customHeight="1">
      <c r="A57" s="1493"/>
      <c r="B57" s="1180">
        <v>20</v>
      </c>
      <c r="C57" s="1180">
        <v>21</v>
      </c>
      <c r="D57" s="1180">
        <v>22</v>
      </c>
      <c r="E57" s="1180">
        <v>23</v>
      </c>
      <c r="F57" s="1180">
        <v>24</v>
      </c>
      <c r="G57" s="1180">
        <v>25</v>
      </c>
      <c r="H57" s="1180">
        <v>26</v>
      </c>
      <c r="I57" s="1518"/>
      <c r="J57" s="1518"/>
      <c r="K57" s="1518"/>
      <c r="L57" s="1518"/>
      <c r="M57" s="1520"/>
      <c r="N57" s="1501"/>
    </row>
    <row r="58" spans="1:14" ht="13.5" customHeight="1">
      <c r="A58" s="1493"/>
      <c r="B58" s="1180">
        <v>27</v>
      </c>
      <c r="C58" s="1180">
        <v>28</v>
      </c>
      <c r="D58" s="1180">
        <v>29</v>
      </c>
      <c r="E58" s="1180">
        <v>30</v>
      </c>
      <c r="F58" s="1180">
        <v>31</v>
      </c>
      <c r="G58" s="1184"/>
      <c r="H58" s="1184"/>
      <c r="I58" s="1518"/>
      <c r="J58" s="1518"/>
      <c r="K58" s="1518"/>
      <c r="L58" s="1518"/>
      <c r="M58" s="1520"/>
      <c r="N58" s="1501"/>
    </row>
    <row r="59" spans="1:14" ht="13.5" customHeight="1">
      <c r="A59" s="1503" t="s">
        <v>130</v>
      </c>
      <c r="B59" s="1177"/>
      <c r="C59" s="1183"/>
      <c r="D59" s="1182"/>
      <c r="E59" s="1182"/>
      <c r="F59" s="1182"/>
      <c r="G59" s="1182">
        <v>1</v>
      </c>
      <c r="H59" s="1182">
        <v>2</v>
      </c>
      <c r="I59" s="1506">
        <v>21</v>
      </c>
      <c r="J59" s="1506">
        <v>5</v>
      </c>
      <c r="K59" s="1506">
        <v>4</v>
      </c>
      <c r="L59" s="1506">
        <v>0</v>
      </c>
      <c r="M59" s="1508">
        <f>SUM(I59:L63)</f>
        <v>30</v>
      </c>
      <c r="N59" s="1514"/>
    </row>
    <row r="60" spans="1:14" ht="13.5" customHeight="1">
      <c r="A60" s="1504"/>
      <c r="B60" s="1180">
        <v>3</v>
      </c>
      <c r="C60" s="1180">
        <v>4</v>
      </c>
      <c r="D60" s="1180">
        <v>5</v>
      </c>
      <c r="E60" s="1180">
        <v>6</v>
      </c>
      <c r="F60" s="1180">
        <v>7</v>
      </c>
      <c r="G60" s="1180">
        <v>8</v>
      </c>
      <c r="H60" s="1180">
        <v>9</v>
      </c>
      <c r="I60" s="1495"/>
      <c r="J60" s="1495"/>
      <c r="K60" s="1495"/>
      <c r="L60" s="1495"/>
      <c r="M60" s="1497"/>
      <c r="N60" s="1515"/>
    </row>
    <row r="61" spans="1:14" ht="13.5" customHeight="1">
      <c r="A61" s="1504"/>
      <c r="B61" s="1180">
        <v>10</v>
      </c>
      <c r="C61" s="1180">
        <v>11</v>
      </c>
      <c r="D61" s="1180">
        <v>12</v>
      </c>
      <c r="E61" s="1180">
        <v>13</v>
      </c>
      <c r="F61" s="1180">
        <v>14</v>
      </c>
      <c r="G61" s="1180">
        <v>15</v>
      </c>
      <c r="H61" s="1180">
        <v>16</v>
      </c>
      <c r="I61" s="1495"/>
      <c r="J61" s="1495"/>
      <c r="K61" s="1495"/>
      <c r="L61" s="1495"/>
      <c r="M61" s="1497"/>
      <c r="N61" s="1515"/>
    </row>
    <row r="62" spans="1:14" ht="13.5" customHeight="1">
      <c r="A62" s="1504"/>
      <c r="B62" s="1180">
        <v>17</v>
      </c>
      <c r="C62" s="1180">
        <v>18</v>
      </c>
      <c r="D62" s="1180">
        <v>19</v>
      </c>
      <c r="E62" s="1180">
        <v>20</v>
      </c>
      <c r="F62" s="1180">
        <v>21</v>
      </c>
      <c r="G62" s="1180">
        <v>22</v>
      </c>
      <c r="H62" s="1180">
        <v>23</v>
      </c>
      <c r="I62" s="1495"/>
      <c r="J62" s="1495"/>
      <c r="K62" s="1495"/>
      <c r="L62" s="1495"/>
      <c r="M62" s="1497"/>
      <c r="N62" s="1515"/>
    </row>
    <row r="63" spans="1:14" ht="13.5" customHeight="1">
      <c r="A63" s="1511"/>
      <c r="B63" s="1180">
        <v>24</v>
      </c>
      <c r="C63" s="1180">
        <v>25</v>
      </c>
      <c r="D63" s="1180">
        <v>26</v>
      </c>
      <c r="E63" s="1180">
        <v>27</v>
      </c>
      <c r="F63" s="1180">
        <v>28</v>
      </c>
      <c r="G63" s="1180">
        <v>29</v>
      </c>
      <c r="H63" s="1180">
        <v>30</v>
      </c>
      <c r="I63" s="1512"/>
      <c r="J63" s="1512"/>
      <c r="K63" s="1512"/>
      <c r="L63" s="1512"/>
      <c r="M63" s="1513"/>
      <c r="N63" s="1516"/>
    </row>
    <row r="64" spans="1:14" ht="13.5" customHeight="1">
      <c r="A64" s="1503" t="s">
        <v>131</v>
      </c>
      <c r="B64" s="1177">
        <v>1</v>
      </c>
      <c r="C64" s="1177">
        <v>2</v>
      </c>
      <c r="D64" s="1177">
        <v>3</v>
      </c>
      <c r="E64" s="1177">
        <v>4</v>
      </c>
      <c r="F64" s="1177">
        <v>5</v>
      </c>
      <c r="G64" s="1177">
        <v>6</v>
      </c>
      <c r="H64" s="1177">
        <v>7</v>
      </c>
      <c r="I64" s="1506">
        <v>21</v>
      </c>
      <c r="J64" s="1506">
        <v>4</v>
      </c>
      <c r="K64" s="1506">
        <v>5</v>
      </c>
      <c r="L64" s="1506">
        <v>1</v>
      </c>
      <c r="M64" s="1508">
        <f>SUM(I64:L68)</f>
        <v>31</v>
      </c>
      <c r="N64" s="1498" t="s">
        <v>1335</v>
      </c>
    </row>
    <row r="65" spans="1:14" ht="13.5" customHeight="1">
      <c r="A65" s="1504"/>
      <c r="B65" s="1180">
        <v>8</v>
      </c>
      <c r="C65" s="1180">
        <v>9</v>
      </c>
      <c r="D65" s="1180">
        <v>10</v>
      </c>
      <c r="E65" s="1180">
        <v>11</v>
      </c>
      <c r="F65" s="1180">
        <v>12</v>
      </c>
      <c r="G65" s="1180">
        <v>13</v>
      </c>
      <c r="H65" s="1180">
        <v>14</v>
      </c>
      <c r="I65" s="1495"/>
      <c r="J65" s="1495"/>
      <c r="K65" s="1495"/>
      <c r="L65" s="1495"/>
      <c r="M65" s="1497"/>
      <c r="N65" s="1499"/>
    </row>
    <row r="66" spans="1:14" ht="13.5" customHeight="1">
      <c r="A66" s="1504"/>
      <c r="B66" s="1180">
        <v>15</v>
      </c>
      <c r="C66" s="1184">
        <v>13</v>
      </c>
      <c r="D66" s="1184">
        <v>14</v>
      </c>
      <c r="E66" s="1184">
        <v>15</v>
      </c>
      <c r="F66" s="1184">
        <v>16</v>
      </c>
      <c r="G66" s="1184">
        <v>17</v>
      </c>
      <c r="H66" s="1180">
        <v>18</v>
      </c>
      <c r="I66" s="1495"/>
      <c r="J66" s="1495"/>
      <c r="K66" s="1495"/>
      <c r="L66" s="1495"/>
      <c r="M66" s="1497"/>
      <c r="N66" s="1499"/>
    </row>
    <row r="67" spans="1:14" ht="13.5" customHeight="1">
      <c r="A67" s="1504"/>
      <c r="B67" s="1180">
        <v>22</v>
      </c>
      <c r="C67" s="1180">
        <v>23</v>
      </c>
      <c r="D67" s="1180">
        <v>24</v>
      </c>
      <c r="E67" s="1186">
        <v>25</v>
      </c>
      <c r="F67" s="1180">
        <v>26</v>
      </c>
      <c r="G67" s="1180">
        <v>27</v>
      </c>
      <c r="H67" s="1180">
        <v>28</v>
      </c>
      <c r="I67" s="1495"/>
      <c r="J67" s="1495"/>
      <c r="K67" s="1495"/>
      <c r="L67" s="1495"/>
      <c r="M67" s="1497"/>
      <c r="N67" s="1499"/>
    </row>
    <row r="68" spans="1:14" ht="13.5" customHeight="1">
      <c r="A68" s="1511"/>
      <c r="B68" s="1187">
        <v>29</v>
      </c>
      <c r="C68" s="1184">
        <v>30</v>
      </c>
      <c r="D68" s="1184">
        <v>31</v>
      </c>
      <c r="E68" s="1184"/>
      <c r="F68" s="1184"/>
      <c r="G68" s="1184"/>
      <c r="H68" s="1187"/>
      <c r="I68" s="1512"/>
      <c r="J68" s="1512"/>
      <c r="K68" s="1512"/>
      <c r="L68" s="1512"/>
      <c r="M68" s="1513"/>
      <c r="N68" s="1510"/>
    </row>
    <row r="69" spans="1:14" s="1190" customFormat="1" ht="22.5" customHeight="1">
      <c r="A69" s="1521" t="s">
        <v>1123</v>
      </c>
      <c r="B69" s="1522"/>
      <c r="C69" s="1522"/>
      <c r="D69" s="1522"/>
      <c r="E69" s="1522"/>
      <c r="F69" s="1522"/>
      <c r="G69" s="1522"/>
      <c r="H69" s="1523"/>
      <c r="I69" s="1188">
        <f>SUM(I7:I68)</f>
        <v>248</v>
      </c>
      <c r="J69" s="1188">
        <f>SUM(J7:J68)</f>
        <v>52</v>
      </c>
      <c r="K69" s="1188">
        <f>SUM(K7:K68)</f>
        <v>52</v>
      </c>
      <c r="L69" s="1188">
        <f>SUM(L7:L68)</f>
        <v>14</v>
      </c>
      <c r="M69" s="1188">
        <f>SUM(M7:M68)</f>
        <v>366</v>
      </c>
      <c r="N69" s="1189"/>
    </row>
    <row r="70" spans="1:14" hidden="1">
      <c r="I70" s="1103">
        <f>I69/6</f>
        <v>41.333333333333336</v>
      </c>
      <c r="J70" s="1103">
        <f>J69/6</f>
        <v>8.6666666666666661</v>
      </c>
      <c r="K70" s="1103">
        <f>K69/6</f>
        <v>8.6666666666666661</v>
      </c>
      <c r="L70" s="1103">
        <f>L69/6</f>
        <v>2.3333333333333335</v>
      </c>
      <c r="M70" s="1103">
        <f>J70+K70+L70</f>
        <v>19.666666666666664</v>
      </c>
    </row>
    <row r="71" spans="1:14" hidden="1">
      <c r="H71" s="1191" t="s">
        <v>1336</v>
      </c>
      <c r="I71" s="1191">
        <f t="shared" ref="I71:L71" si="0">I69/5</f>
        <v>49.6</v>
      </c>
      <c r="J71" s="1103">
        <f t="shared" si="0"/>
        <v>10.4</v>
      </c>
      <c r="K71" s="1103">
        <f t="shared" si="0"/>
        <v>10.4</v>
      </c>
      <c r="L71" s="1103">
        <f t="shared" si="0"/>
        <v>2.8</v>
      </c>
    </row>
    <row r="72" spans="1:14" hidden="1">
      <c r="K72" s="1193" t="s">
        <v>1337</v>
      </c>
      <c r="L72" s="1193">
        <f>L71+K71+J71</f>
        <v>23.6</v>
      </c>
    </row>
    <row r="73" spans="1:14" hidden="1"/>
  </sheetData>
  <mergeCells count="97">
    <mergeCell ref="N64:N68"/>
    <mergeCell ref="A69:H69"/>
    <mergeCell ref="A64:A68"/>
    <mergeCell ref="I64:I68"/>
    <mergeCell ref="J64:J68"/>
    <mergeCell ref="K64:K68"/>
    <mergeCell ref="L64:L68"/>
    <mergeCell ref="M64:M68"/>
    <mergeCell ref="N54:N58"/>
    <mergeCell ref="A59:A63"/>
    <mergeCell ref="I59:I63"/>
    <mergeCell ref="J59:J63"/>
    <mergeCell ref="K59:K63"/>
    <mergeCell ref="L59:L63"/>
    <mergeCell ref="M59:M63"/>
    <mergeCell ref="N59:N63"/>
    <mergeCell ref="A54:A58"/>
    <mergeCell ref="I54:I58"/>
    <mergeCell ref="J54:J58"/>
    <mergeCell ref="K54:K58"/>
    <mergeCell ref="L54:L58"/>
    <mergeCell ref="M54:M58"/>
    <mergeCell ref="N44:N48"/>
    <mergeCell ref="A49:A53"/>
    <mergeCell ref="I49:I53"/>
    <mergeCell ref="J49:J53"/>
    <mergeCell ref="K49:K53"/>
    <mergeCell ref="L49:L53"/>
    <mergeCell ref="M49:M53"/>
    <mergeCell ref="N49:N53"/>
    <mergeCell ref="A44:A48"/>
    <mergeCell ref="I44:I48"/>
    <mergeCell ref="J44:J48"/>
    <mergeCell ref="K44:K48"/>
    <mergeCell ref="L44:L48"/>
    <mergeCell ref="M44:M48"/>
    <mergeCell ref="N33:N38"/>
    <mergeCell ref="A39:A43"/>
    <mergeCell ref="I39:I43"/>
    <mergeCell ref="J39:J43"/>
    <mergeCell ref="K39:K43"/>
    <mergeCell ref="L39:L43"/>
    <mergeCell ref="M39:M43"/>
    <mergeCell ref="N39:N43"/>
    <mergeCell ref="A33:A38"/>
    <mergeCell ref="I33:I38"/>
    <mergeCell ref="J33:J38"/>
    <mergeCell ref="K33:K38"/>
    <mergeCell ref="L33:L38"/>
    <mergeCell ref="M33:M38"/>
    <mergeCell ref="N23:N27"/>
    <mergeCell ref="A28:A32"/>
    <mergeCell ref="I28:I32"/>
    <mergeCell ref="J28:J32"/>
    <mergeCell ref="K28:K32"/>
    <mergeCell ref="L28:L32"/>
    <mergeCell ref="M28:M32"/>
    <mergeCell ref="N28:N32"/>
    <mergeCell ref="A23:A27"/>
    <mergeCell ref="I23:I27"/>
    <mergeCell ref="J23:J27"/>
    <mergeCell ref="K23:K27"/>
    <mergeCell ref="L23:L27"/>
    <mergeCell ref="M23:M27"/>
    <mergeCell ref="N12:N16"/>
    <mergeCell ref="A17:A22"/>
    <mergeCell ref="I17:I22"/>
    <mergeCell ref="J17:J22"/>
    <mergeCell ref="K17:K22"/>
    <mergeCell ref="L17:L22"/>
    <mergeCell ref="M17:M22"/>
    <mergeCell ref="N17:N22"/>
    <mergeCell ref="A12:A16"/>
    <mergeCell ref="I12:I16"/>
    <mergeCell ref="J12:J16"/>
    <mergeCell ref="K12:K16"/>
    <mergeCell ref="L12:L16"/>
    <mergeCell ref="M12:M16"/>
    <mergeCell ref="M5:M6"/>
    <mergeCell ref="N5:N6"/>
    <mergeCell ref="A7:A11"/>
    <mergeCell ref="I7:I11"/>
    <mergeCell ref="J7:J11"/>
    <mergeCell ref="K7:K11"/>
    <mergeCell ref="L7:L11"/>
    <mergeCell ref="M7:M11"/>
    <mergeCell ref="N7:N11"/>
    <mergeCell ref="A3:I3"/>
    <mergeCell ref="A5:A6"/>
    <mergeCell ref="B5:B6"/>
    <mergeCell ref="C5:C6"/>
    <mergeCell ref="D5:D6"/>
    <mergeCell ref="E5:E6"/>
    <mergeCell ref="F5:F6"/>
    <mergeCell ref="G5:G6"/>
    <mergeCell ref="H5:H6"/>
    <mergeCell ref="I5:L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&amp;C- &amp;P -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2"/>
  <sheetViews>
    <sheetView view="pageBreakPreview" topLeftCell="D11" zoomScale="130" zoomScaleNormal="100" zoomScaleSheetLayoutView="130" workbookViewId="0">
      <selection activeCell="P33" sqref="P33"/>
    </sheetView>
  </sheetViews>
  <sheetFormatPr defaultRowHeight="12"/>
  <cols>
    <col min="1" max="1" width="7.21875" style="3" customWidth="1"/>
    <col min="2" max="2" width="9.77734375" style="3" customWidth="1"/>
    <col min="3" max="4" width="7.88671875" style="3" customWidth="1"/>
    <col min="5" max="5" width="8.77734375" style="3" customWidth="1"/>
    <col min="6" max="7" width="7.88671875" style="3" customWidth="1"/>
    <col min="8" max="8" width="8.77734375" style="3" customWidth="1"/>
    <col min="9" max="9" width="7.21875" style="3" customWidth="1"/>
    <col min="10" max="10" width="9.77734375" style="3" customWidth="1"/>
    <col min="11" max="12" width="8.88671875" style="3"/>
    <col min="13" max="13" width="8.77734375" style="3" customWidth="1"/>
    <col min="14" max="14" width="8.33203125" style="3" bestFit="1" customWidth="1"/>
    <col min="15" max="15" width="7.5546875" style="3" bestFit="1" customWidth="1"/>
    <col min="16" max="16" width="8.77734375" style="3" customWidth="1"/>
    <col min="17" max="18" width="8.88671875" style="3"/>
    <col min="19" max="19" width="8.33203125" style="3" bestFit="1" customWidth="1"/>
    <col min="20" max="21" width="8.88671875" style="3"/>
    <col min="22" max="22" width="8.33203125" style="3" customWidth="1"/>
    <col min="23" max="23" width="8.88671875" style="3" customWidth="1"/>
    <col min="24" max="16384" width="8.88671875" style="27"/>
  </cols>
  <sheetData>
    <row r="1" spans="1:22" ht="18.75" customHeight="1">
      <c r="A1" s="1" t="str">
        <f>"[ 표 : "&amp;V1&amp;" ] "</f>
        <v xml:space="preserve">[ 표 : 14 ] </v>
      </c>
      <c r="V1" s="3">
        <f>근무일수!P1+1</f>
        <v>14</v>
      </c>
    </row>
    <row r="2" spans="1:22" s="3" customFormat="1" ht="30.75" customHeight="1">
      <c r="A2" s="489" t="s">
        <v>1027</v>
      </c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</row>
    <row r="3" spans="1:22" s="3" customFormat="1" ht="18" customHeight="1">
      <c r="A3" s="1524" t="s">
        <v>661</v>
      </c>
      <c r="B3" s="1525"/>
      <c r="C3" s="1360" t="s">
        <v>1000</v>
      </c>
      <c r="D3" s="1361"/>
      <c r="E3" s="1361"/>
      <c r="F3" s="1361"/>
      <c r="G3" s="1361"/>
      <c r="H3" s="1362"/>
      <c r="I3" s="1524" t="s">
        <v>661</v>
      </c>
      <c r="J3" s="1525"/>
      <c r="K3" s="1360" t="s">
        <v>999</v>
      </c>
      <c r="L3" s="1361"/>
      <c r="M3" s="1361"/>
      <c r="N3" s="1361"/>
      <c r="O3" s="1361"/>
      <c r="P3" s="1362"/>
      <c r="Q3" s="1360" t="s">
        <v>662</v>
      </c>
      <c r="R3" s="1361"/>
      <c r="S3" s="1361"/>
      <c r="T3" s="1362"/>
    </row>
    <row r="4" spans="1:22" s="3" customFormat="1" ht="18" customHeight="1">
      <c r="A4" s="1526"/>
      <c r="B4" s="1527"/>
      <c r="C4" s="1360" t="s">
        <v>663</v>
      </c>
      <c r="D4" s="1361"/>
      <c r="E4" s="1362"/>
      <c r="F4" s="1360" t="s">
        <v>664</v>
      </c>
      <c r="G4" s="1361"/>
      <c r="H4" s="1362"/>
      <c r="I4" s="1526"/>
      <c r="J4" s="1527"/>
      <c r="K4" s="1360" t="s">
        <v>663</v>
      </c>
      <c r="L4" s="1361"/>
      <c r="M4" s="1362"/>
      <c r="N4" s="1360" t="s">
        <v>664</v>
      </c>
      <c r="O4" s="1361"/>
      <c r="P4" s="1362"/>
      <c r="Q4" s="1360" t="s">
        <v>663</v>
      </c>
      <c r="R4" s="1362"/>
      <c r="S4" s="1360" t="s">
        <v>664</v>
      </c>
      <c r="T4" s="1362"/>
    </row>
    <row r="5" spans="1:22" s="3" customFormat="1" ht="24">
      <c r="A5" s="1528"/>
      <c r="B5" s="1529"/>
      <c r="C5" s="31" t="s">
        <v>665</v>
      </c>
      <c r="D5" s="31" t="s">
        <v>666</v>
      </c>
      <c r="E5" s="31" t="s">
        <v>667</v>
      </c>
      <c r="F5" s="31" t="s">
        <v>665</v>
      </c>
      <c r="G5" s="31" t="s">
        <v>666</v>
      </c>
      <c r="H5" s="31" t="s">
        <v>667</v>
      </c>
      <c r="I5" s="1528"/>
      <c r="J5" s="1529"/>
      <c r="K5" s="31" t="s">
        <v>665</v>
      </c>
      <c r="L5" s="31" t="s">
        <v>666</v>
      </c>
      <c r="M5" s="31" t="s">
        <v>667</v>
      </c>
      <c r="N5" s="31" t="s">
        <v>665</v>
      </c>
      <c r="O5" s="31" t="s">
        <v>666</v>
      </c>
      <c r="P5" s="31" t="s">
        <v>667</v>
      </c>
      <c r="Q5" s="31" t="s">
        <v>668</v>
      </c>
      <c r="R5" s="31" t="s">
        <v>669</v>
      </c>
      <c r="S5" s="30" t="s">
        <v>670</v>
      </c>
      <c r="T5" s="31" t="s">
        <v>669</v>
      </c>
    </row>
    <row r="6" spans="1:22" s="3" customFormat="1" ht="15.75" customHeight="1">
      <c r="A6" s="31" t="s">
        <v>671</v>
      </c>
      <c r="B6" s="490" t="s">
        <v>1001</v>
      </c>
      <c r="C6" s="491">
        <f>TRUNC(247+0/60,2)</f>
        <v>247</v>
      </c>
      <c r="D6" s="491">
        <f>TRUNC(28+0/60,2)</f>
        <v>28</v>
      </c>
      <c r="E6" s="491">
        <f t="shared" ref="E6:E31" si="0">SUM(C6:D6)</f>
        <v>275</v>
      </c>
      <c r="F6" s="492">
        <v>322460</v>
      </c>
      <c r="G6" s="492">
        <v>9440</v>
      </c>
      <c r="H6" s="492">
        <f t="shared" ref="H6:H31" si="1">SUM(F6:G6)</f>
        <v>331900</v>
      </c>
      <c r="I6" s="31" t="s">
        <v>671</v>
      </c>
      <c r="J6" s="490" t="s">
        <v>672</v>
      </c>
      <c r="K6" s="491">
        <f>TRUNC(301+40/60,2)</f>
        <v>301.66000000000003</v>
      </c>
      <c r="L6" s="491">
        <f>TRUNC(40+50/60,2)</f>
        <v>40.83</v>
      </c>
      <c r="M6" s="491">
        <f>SUM(K6:L6)</f>
        <v>342.49</v>
      </c>
      <c r="N6" s="492">
        <v>379140</v>
      </c>
      <c r="O6" s="492">
        <v>2490</v>
      </c>
      <c r="P6" s="492">
        <f>SUM(N6:O6)</f>
        <v>381630</v>
      </c>
      <c r="Q6" s="491">
        <f>M6-E6</f>
        <v>67.490000000000009</v>
      </c>
      <c r="R6" s="493">
        <f>TRUNC(M6/E6,4)</f>
        <v>1.2454000000000001</v>
      </c>
      <c r="S6" s="494">
        <f>P6-H6</f>
        <v>49730</v>
      </c>
      <c r="T6" s="493">
        <f>TRUNC(P6/H6,4)</f>
        <v>1.1497999999999999</v>
      </c>
    </row>
    <row r="7" spans="1:22" s="3" customFormat="1" ht="15.75" customHeight="1">
      <c r="A7" s="31" t="s">
        <v>673</v>
      </c>
      <c r="B7" s="490" t="s">
        <v>1002</v>
      </c>
      <c r="C7" s="491">
        <f>TRUNC(247+0/60,2)</f>
        <v>247</v>
      </c>
      <c r="D7" s="491">
        <f t="shared" ref="D7:D31" si="2">TRUNC(28+0/60,2)</f>
        <v>28</v>
      </c>
      <c r="E7" s="491">
        <f t="shared" si="0"/>
        <v>275</v>
      </c>
      <c r="F7" s="492">
        <v>322460</v>
      </c>
      <c r="G7" s="492">
        <v>9440</v>
      </c>
      <c r="H7" s="492">
        <f t="shared" si="1"/>
        <v>331900</v>
      </c>
      <c r="I7" s="31" t="s">
        <v>673</v>
      </c>
      <c r="J7" s="490" t="s">
        <v>674</v>
      </c>
      <c r="K7" s="491">
        <f>TRUNC(301+40/60,2)</f>
        <v>301.66000000000003</v>
      </c>
      <c r="L7" s="491">
        <f>TRUNC(40+50/60,2)</f>
        <v>40.83</v>
      </c>
      <c r="M7" s="491">
        <f t="shared" ref="M7:M31" si="3">SUM(K7:L7)</f>
        <v>342.49</v>
      </c>
      <c r="N7" s="492">
        <v>379140</v>
      </c>
      <c r="O7" s="492">
        <v>2490</v>
      </c>
      <c r="P7" s="492">
        <f t="shared" ref="P7:P31" si="4">SUM(N7:O7)</f>
        <v>381630</v>
      </c>
      <c r="Q7" s="491">
        <f t="shared" ref="Q7:Q31" si="5">M7-E7</f>
        <v>67.490000000000009</v>
      </c>
      <c r="R7" s="493">
        <f t="shared" ref="R7:R31" si="6">TRUNC(M7/E7,4)</f>
        <v>1.2454000000000001</v>
      </c>
      <c r="S7" s="494">
        <f t="shared" ref="S7:S31" si="7">P7-H7</f>
        <v>49730</v>
      </c>
      <c r="T7" s="493">
        <f t="shared" ref="T7:T31" si="8">TRUNC(P7/H7,4)</f>
        <v>1.1497999999999999</v>
      </c>
    </row>
    <row r="8" spans="1:22" s="3" customFormat="1" ht="15.75" customHeight="1">
      <c r="A8" s="31" t="s">
        <v>675</v>
      </c>
      <c r="B8" s="490" t="s">
        <v>1003</v>
      </c>
      <c r="C8" s="491">
        <f>TRUNC(249+0/60,2)</f>
        <v>249</v>
      </c>
      <c r="D8" s="491">
        <f t="shared" si="2"/>
        <v>28</v>
      </c>
      <c r="E8" s="491">
        <f t="shared" si="0"/>
        <v>277</v>
      </c>
      <c r="F8" s="492">
        <v>344050</v>
      </c>
      <c r="G8" s="492">
        <v>3220</v>
      </c>
      <c r="H8" s="492">
        <f t="shared" si="1"/>
        <v>347270</v>
      </c>
      <c r="I8" s="31" t="s">
        <v>675</v>
      </c>
      <c r="J8" s="490" t="s">
        <v>676</v>
      </c>
      <c r="K8" s="491">
        <f>TRUNC(299+40/60,2)</f>
        <v>299.66000000000003</v>
      </c>
      <c r="L8" s="491">
        <f>TRUNC(40+50/60,2)</f>
        <v>40.83</v>
      </c>
      <c r="M8" s="491">
        <f t="shared" si="3"/>
        <v>340.49</v>
      </c>
      <c r="N8" s="492">
        <v>362870</v>
      </c>
      <c r="O8" s="492">
        <v>0</v>
      </c>
      <c r="P8" s="492">
        <f t="shared" si="4"/>
        <v>362870</v>
      </c>
      <c r="Q8" s="491">
        <f t="shared" si="5"/>
        <v>63.490000000000009</v>
      </c>
      <c r="R8" s="493">
        <f t="shared" si="6"/>
        <v>1.2292000000000001</v>
      </c>
      <c r="S8" s="494">
        <f t="shared" si="7"/>
        <v>15600</v>
      </c>
      <c r="T8" s="493">
        <f t="shared" si="8"/>
        <v>1.0448999999999999</v>
      </c>
    </row>
    <row r="9" spans="1:22" s="3" customFormat="1" ht="15.75" customHeight="1">
      <c r="A9" s="31" t="s">
        <v>677</v>
      </c>
      <c r="B9" s="490" t="s">
        <v>1004</v>
      </c>
      <c r="C9" s="491">
        <f>TRUNC(247+50/60,2)</f>
        <v>247.83</v>
      </c>
      <c r="D9" s="491">
        <f t="shared" si="2"/>
        <v>28</v>
      </c>
      <c r="E9" s="491">
        <f t="shared" si="0"/>
        <v>275.83000000000004</v>
      </c>
      <c r="F9" s="492">
        <v>344040</v>
      </c>
      <c r="G9" s="492">
        <v>7370</v>
      </c>
      <c r="H9" s="492">
        <f t="shared" si="1"/>
        <v>351410</v>
      </c>
      <c r="I9" s="31" t="s">
        <v>677</v>
      </c>
      <c r="J9" s="490" t="s">
        <v>678</v>
      </c>
      <c r="K9" s="491">
        <f>TRUNC(302+10/60,2)</f>
        <v>302.16000000000003</v>
      </c>
      <c r="L9" s="491">
        <f>TRUNC(40+50/60,2)</f>
        <v>40.83</v>
      </c>
      <c r="M9" s="491">
        <f t="shared" si="3"/>
        <v>342.99</v>
      </c>
      <c r="N9" s="492">
        <v>399630</v>
      </c>
      <c r="O9" s="492">
        <v>0</v>
      </c>
      <c r="P9" s="492">
        <f t="shared" si="4"/>
        <v>399630</v>
      </c>
      <c r="Q9" s="491">
        <f t="shared" si="5"/>
        <v>67.159999999999968</v>
      </c>
      <c r="R9" s="493">
        <f t="shared" si="6"/>
        <v>1.2434000000000001</v>
      </c>
      <c r="S9" s="494">
        <f t="shared" si="7"/>
        <v>48220</v>
      </c>
      <c r="T9" s="493">
        <f t="shared" si="8"/>
        <v>1.1372</v>
      </c>
    </row>
    <row r="10" spans="1:22" s="3" customFormat="1" ht="15.75" customHeight="1">
      <c r="A10" s="31" t="s">
        <v>679</v>
      </c>
      <c r="B10" s="490" t="s">
        <v>1005</v>
      </c>
      <c r="C10" s="491">
        <f>TRUNC(248+30/60,2)</f>
        <v>248.5</v>
      </c>
      <c r="D10" s="491">
        <f t="shared" si="2"/>
        <v>28</v>
      </c>
      <c r="E10" s="491">
        <f t="shared" si="0"/>
        <v>276.5</v>
      </c>
      <c r="F10" s="492">
        <v>343520</v>
      </c>
      <c r="G10" s="492">
        <v>8260</v>
      </c>
      <c r="H10" s="492">
        <f t="shared" si="1"/>
        <v>351780</v>
      </c>
      <c r="I10" s="31" t="s">
        <v>679</v>
      </c>
      <c r="J10" s="490" t="s">
        <v>680</v>
      </c>
      <c r="K10" s="491">
        <f>TRUNC(297+10/60,2)</f>
        <v>297.16000000000003</v>
      </c>
      <c r="L10" s="491">
        <f t="shared" ref="L10:L18" si="9">TRUNC(40+50/60,2)</f>
        <v>40.83</v>
      </c>
      <c r="M10" s="491">
        <f t="shared" si="3"/>
        <v>337.99</v>
      </c>
      <c r="N10" s="492">
        <v>348650</v>
      </c>
      <c r="O10" s="492">
        <v>0</v>
      </c>
      <c r="P10" s="492">
        <f t="shared" si="4"/>
        <v>348650</v>
      </c>
      <c r="Q10" s="491">
        <f t="shared" si="5"/>
        <v>61.490000000000009</v>
      </c>
      <c r="R10" s="493">
        <f t="shared" si="6"/>
        <v>1.2222999999999999</v>
      </c>
      <c r="S10" s="494">
        <f t="shared" si="7"/>
        <v>-3130</v>
      </c>
      <c r="T10" s="493">
        <f t="shared" si="8"/>
        <v>0.99109999999999998</v>
      </c>
    </row>
    <row r="11" spans="1:22" s="3" customFormat="1" ht="15.75" customHeight="1">
      <c r="A11" s="31" t="s">
        <v>681</v>
      </c>
      <c r="B11" s="490" t="s">
        <v>1006</v>
      </c>
      <c r="C11" s="491">
        <f>TRUNC(250+30/60,2)</f>
        <v>250.5</v>
      </c>
      <c r="D11" s="491">
        <f t="shared" si="2"/>
        <v>28</v>
      </c>
      <c r="E11" s="491">
        <f t="shared" si="0"/>
        <v>278.5</v>
      </c>
      <c r="F11" s="492">
        <v>341290</v>
      </c>
      <c r="G11" s="492">
        <v>5220</v>
      </c>
      <c r="H11" s="492">
        <f t="shared" si="1"/>
        <v>346510</v>
      </c>
      <c r="I11" s="31" t="s">
        <v>681</v>
      </c>
      <c r="J11" s="490" t="s">
        <v>682</v>
      </c>
      <c r="K11" s="491">
        <f>TRUNC(302+40/60,2)</f>
        <v>302.66000000000003</v>
      </c>
      <c r="L11" s="491">
        <f t="shared" si="9"/>
        <v>40.83</v>
      </c>
      <c r="M11" s="491">
        <f t="shared" si="3"/>
        <v>343.49</v>
      </c>
      <c r="N11" s="492">
        <v>376620</v>
      </c>
      <c r="O11" s="492">
        <v>0</v>
      </c>
      <c r="P11" s="492">
        <f t="shared" si="4"/>
        <v>376620</v>
      </c>
      <c r="Q11" s="491">
        <f t="shared" si="5"/>
        <v>64.990000000000009</v>
      </c>
      <c r="R11" s="493">
        <f t="shared" si="6"/>
        <v>1.2333000000000001</v>
      </c>
      <c r="S11" s="494">
        <f t="shared" si="7"/>
        <v>30110</v>
      </c>
      <c r="T11" s="493">
        <f t="shared" si="8"/>
        <v>1.0868</v>
      </c>
    </row>
    <row r="12" spans="1:22" s="3" customFormat="1" ht="15.75" customHeight="1">
      <c r="A12" s="31" t="s">
        <v>683</v>
      </c>
      <c r="B12" s="490" t="s">
        <v>1007</v>
      </c>
      <c r="C12" s="491">
        <f>TRUNC(249+0/60,2)</f>
        <v>249</v>
      </c>
      <c r="D12" s="491">
        <f t="shared" si="2"/>
        <v>28</v>
      </c>
      <c r="E12" s="491">
        <f t="shared" si="0"/>
        <v>277</v>
      </c>
      <c r="F12" s="492">
        <v>340740</v>
      </c>
      <c r="G12" s="492">
        <v>3880</v>
      </c>
      <c r="H12" s="492">
        <f t="shared" si="1"/>
        <v>344620</v>
      </c>
      <c r="I12" s="31" t="s">
        <v>683</v>
      </c>
      <c r="J12" s="490" t="s">
        <v>684</v>
      </c>
      <c r="K12" s="491">
        <f>TRUNC(303+10/60,2)</f>
        <v>303.16000000000003</v>
      </c>
      <c r="L12" s="491">
        <f t="shared" si="9"/>
        <v>40.83</v>
      </c>
      <c r="M12" s="491">
        <f t="shared" si="3"/>
        <v>343.99</v>
      </c>
      <c r="N12" s="492">
        <v>371800</v>
      </c>
      <c r="O12" s="492">
        <v>4680</v>
      </c>
      <c r="P12" s="492">
        <f t="shared" si="4"/>
        <v>376480</v>
      </c>
      <c r="Q12" s="491">
        <f t="shared" si="5"/>
        <v>66.990000000000009</v>
      </c>
      <c r="R12" s="493">
        <f t="shared" si="6"/>
        <v>1.2418</v>
      </c>
      <c r="S12" s="494">
        <f t="shared" si="7"/>
        <v>31860</v>
      </c>
      <c r="T12" s="493">
        <f t="shared" si="8"/>
        <v>1.0924</v>
      </c>
    </row>
    <row r="13" spans="1:22" s="501" customFormat="1" ht="15.75" customHeight="1">
      <c r="A13" s="495" t="s">
        <v>685</v>
      </c>
      <c r="B13" s="496" t="s">
        <v>1008</v>
      </c>
      <c r="C13" s="497">
        <f>TRUNC(252+0/60,2)</f>
        <v>252</v>
      </c>
      <c r="D13" s="497">
        <f t="shared" si="2"/>
        <v>28</v>
      </c>
      <c r="E13" s="497">
        <f>SUM(C13:D13)</f>
        <v>280</v>
      </c>
      <c r="F13" s="498">
        <v>380390</v>
      </c>
      <c r="G13" s="498">
        <v>5150</v>
      </c>
      <c r="H13" s="498">
        <f>SUM(F13:G13)</f>
        <v>385540</v>
      </c>
      <c r="I13" s="495" t="s">
        <v>685</v>
      </c>
      <c r="J13" s="496" t="s">
        <v>686</v>
      </c>
      <c r="K13" s="497">
        <f>TRUNC(304+10/60,2)</f>
        <v>304.16000000000003</v>
      </c>
      <c r="L13" s="497">
        <f t="shared" si="9"/>
        <v>40.83</v>
      </c>
      <c r="M13" s="497">
        <f t="shared" si="3"/>
        <v>344.99</v>
      </c>
      <c r="N13" s="498">
        <v>368950</v>
      </c>
      <c r="O13" s="498">
        <v>3350</v>
      </c>
      <c r="P13" s="498">
        <f t="shared" si="4"/>
        <v>372300</v>
      </c>
      <c r="Q13" s="497">
        <f t="shared" si="5"/>
        <v>64.990000000000009</v>
      </c>
      <c r="R13" s="499">
        <f t="shared" si="6"/>
        <v>1.2321</v>
      </c>
      <c r="S13" s="500">
        <f t="shared" si="7"/>
        <v>-13240</v>
      </c>
      <c r="T13" s="499">
        <f t="shared" si="8"/>
        <v>0.96560000000000001</v>
      </c>
    </row>
    <row r="14" spans="1:22" s="501" customFormat="1" ht="15.75" customHeight="1">
      <c r="A14" s="495" t="s">
        <v>687</v>
      </c>
      <c r="B14" s="496" t="s">
        <v>1009</v>
      </c>
      <c r="C14" s="497">
        <f>TRUNC(251+10/60,2)</f>
        <v>251.16</v>
      </c>
      <c r="D14" s="497">
        <f t="shared" si="2"/>
        <v>28</v>
      </c>
      <c r="E14" s="497">
        <f t="shared" si="0"/>
        <v>279.15999999999997</v>
      </c>
      <c r="F14" s="498">
        <v>361940</v>
      </c>
      <c r="G14" s="498">
        <v>3070</v>
      </c>
      <c r="H14" s="498">
        <f t="shared" si="1"/>
        <v>365010</v>
      </c>
      <c r="I14" s="495" t="s">
        <v>687</v>
      </c>
      <c r="J14" s="496" t="s">
        <v>688</v>
      </c>
      <c r="K14" s="497">
        <f>TRUNC(303+40/60,2)</f>
        <v>303.66000000000003</v>
      </c>
      <c r="L14" s="497">
        <f t="shared" si="9"/>
        <v>40.83</v>
      </c>
      <c r="M14" s="497">
        <f t="shared" si="3"/>
        <v>344.49</v>
      </c>
      <c r="N14" s="498">
        <v>368090</v>
      </c>
      <c r="O14" s="498">
        <v>5220</v>
      </c>
      <c r="P14" s="498">
        <f t="shared" si="4"/>
        <v>373310</v>
      </c>
      <c r="Q14" s="497">
        <f t="shared" si="5"/>
        <v>65.330000000000041</v>
      </c>
      <c r="R14" s="499">
        <f t="shared" si="6"/>
        <v>1.234</v>
      </c>
      <c r="S14" s="500">
        <f t="shared" si="7"/>
        <v>8300</v>
      </c>
      <c r="T14" s="499">
        <f t="shared" si="8"/>
        <v>1.0226999999999999</v>
      </c>
    </row>
    <row r="15" spans="1:22" s="501" customFormat="1" ht="15.75" customHeight="1">
      <c r="A15" s="495" t="s">
        <v>689</v>
      </c>
      <c r="B15" s="496" t="s">
        <v>1010</v>
      </c>
      <c r="C15" s="497">
        <f>TRUNC(254+0/60,2)</f>
        <v>254</v>
      </c>
      <c r="D15" s="497">
        <f t="shared" si="2"/>
        <v>28</v>
      </c>
      <c r="E15" s="497">
        <f t="shared" si="0"/>
        <v>282</v>
      </c>
      <c r="F15" s="498">
        <v>363400</v>
      </c>
      <c r="G15" s="498">
        <v>10550</v>
      </c>
      <c r="H15" s="498">
        <f t="shared" si="1"/>
        <v>373950</v>
      </c>
      <c r="I15" s="495" t="s">
        <v>689</v>
      </c>
      <c r="J15" s="496" t="s">
        <v>690</v>
      </c>
      <c r="K15" s="497">
        <f>TRUNC(301+10/60,2)</f>
        <v>301.16000000000003</v>
      </c>
      <c r="L15" s="497">
        <f t="shared" si="9"/>
        <v>40.83</v>
      </c>
      <c r="M15" s="497">
        <f t="shared" si="3"/>
        <v>341.99</v>
      </c>
      <c r="N15" s="498">
        <v>364380</v>
      </c>
      <c r="O15" s="498">
        <v>0</v>
      </c>
      <c r="P15" s="498">
        <f t="shared" si="4"/>
        <v>364380</v>
      </c>
      <c r="Q15" s="497">
        <f t="shared" si="5"/>
        <v>59.990000000000009</v>
      </c>
      <c r="R15" s="499">
        <f t="shared" si="6"/>
        <v>1.2126999999999999</v>
      </c>
      <c r="S15" s="500">
        <f t="shared" si="7"/>
        <v>-9570</v>
      </c>
      <c r="T15" s="499">
        <f t="shared" si="8"/>
        <v>0.97440000000000004</v>
      </c>
    </row>
    <row r="16" spans="1:22" s="501" customFormat="1" ht="15.75" customHeight="1">
      <c r="A16" s="495" t="s">
        <v>691</v>
      </c>
      <c r="B16" s="496" t="s">
        <v>1011</v>
      </c>
      <c r="C16" s="497">
        <f>TRUNC(255+30/60,2)</f>
        <v>255.5</v>
      </c>
      <c r="D16" s="497">
        <f t="shared" si="2"/>
        <v>28</v>
      </c>
      <c r="E16" s="497">
        <f t="shared" si="0"/>
        <v>283.5</v>
      </c>
      <c r="F16" s="498">
        <v>373450</v>
      </c>
      <c r="G16" s="498">
        <v>3990</v>
      </c>
      <c r="H16" s="498">
        <f t="shared" si="1"/>
        <v>377440</v>
      </c>
      <c r="I16" s="495" t="s">
        <v>691</v>
      </c>
      <c r="J16" s="496" t="s">
        <v>692</v>
      </c>
      <c r="K16" s="497">
        <f>TRUNC(310+0/60,2)</f>
        <v>310</v>
      </c>
      <c r="L16" s="497">
        <f t="shared" si="9"/>
        <v>40.83</v>
      </c>
      <c r="M16" s="497">
        <f t="shared" si="3"/>
        <v>350.83</v>
      </c>
      <c r="N16" s="498">
        <v>365680</v>
      </c>
      <c r="O16" s="498">
        <v>5140</v>
      </c>
      <c r="P16" s="498">
        <f t="shared" si="4"/>
        <v>370820</v>
      </c>
      <c r="Q16" s="497">
        <f t="shared" si="5"/>
        <v>67.329999999999984</v>
      </c>
      <c r="R16" s="499">
        <f t="shared" si="6"/>
        <v>1.2374000000000001</v>
      </c>
      <c r="S16" s="500">
        <f t="shared" si="7"/>
        <v>-6620</v>
      </c>
      <c r="T16" s="499">
        <f t="shared" si="8"/>
        <v>0.98240000000000005</v>
      </c>
    </row>
    <row r="17" spans="1:20" s="501" customFormat="1" ht="15.75" customHeight="1">
      <c r="A17" s="495" t="s">
        <v>693</v>
      </c>
      <c r="B17" s="496" t="s">
        <v>1012</v>
      </c>
      <c r="C17" s="497">
        <f>TRUNC(256+40/60,2)</f>
        <v>256.66000000000003</v>
      </c>
      <c r="D17" s="497">
        <f t="shared" si="2"/>
        <v>28</v>
      </c>
      <c r="E17" s="497">
        <f t="shared" si="0"/>
        <v>284.66000000000003</v>
      </c>
      <c r="F17" s="498">
        <v>371490</v>
      </c>
      <c r="G17" s="498">
        <v>7700</v>
      </c>
      <c r="H17" s="498">
        <f t="shared" si="1"/>
        <v>379190</v>
      </c>
      <c r="I17" s="495" t="s">
        <v>693</v>
      </c>
      <c r="J17" s="496" t="s">
        <v>694</v>
      </c>
      <c r="K17" s="497">
        <f>TRUNC(306+40/60,2)</f>
        <v>306.66000000000003</v>
      </c>
      <c r="L17" s="497">
        <f t="shared" si="9"/>
        <v>40.83</v>
      </c>
      <c r="M17" s="497">
        <f t="shared" si="3"/>
        <v>347.49</v>
      </c>
      <c r="N17" s="498">
        <v>355690</v>
      </c>
      <c r="O17" s="498">
        <v>4810</v>
      </c>
      <c r="P17" s="498">
        <f t="shared" si="4"/>
        <v>360500</v>
      </c>
      <c r="Q17" s="497">
        <f t="shared" si="5"/>
        <v>62.829999999999984</v>
      </c>
      <c r="R17" s="499">
        <f t="shared" si="6"/>
        <v>1.2206999999999999</v>
      </c>
      <c r="S17" s="500">
        <f t="shared" si="7"/>
        <v>-18690</v>
      </c>
      <c r="T17" s="499">
        <f t="shared" si="8"/>
        <v>0.95069999999999999</v>
      </c>
    </row>
    <row r="18" spans="1:20" s="501" customFormat="1" ht="15.75" customHeight="1">
      <c r="A18" s="495" t="s">
        <v>695</v>
      </c>
      <c r="B18" s="496" t="s">
        <v>1013</v>
      </c>
      <c r="C18" s="497">
        <f>TRUNC(256+10/60,2)</f>
        <v>256.16000000000003</v>
      </c>
      <c r="D18" s="497">
        <f t="shared" si="2"/>
        <v>28</v>
      </c>
      <c r="E18" s="497">
        <f t="shared" si="0"/>
        <v>284.16000000000003</v>
      </c>
      <c r="F18" s="498">
        <v>353420</v>
      </c>
      <c r="G18" s="498">
        <v>6210</v>
      </c>
      <c r="H18" s="498">
        <f t="shared" si="1"/>
        <v>359630</v>
      </c>
      <c r="I18" s="495" t="s">
        <v>695</v>
      </c>
      <c r="J18" s="496" t="s">
        <v>696</v>
      </c>
      <c r="K18" s="497">
        <f>TRUNC(308+40/60,2)</f>
        <v>308.66000000000003</v>
      </c>
      <c r="L18" s="497">
        <f t="shared" si="9"/>
        <v>40.83</v>
      </c>
      <c r="M18" s="497">
        <f t="shared" si="3"/>
        <v>349.49</v>
      </c>
      <c r="N18" s="498">
        <v>361310</v>
      </c>
      <c r="O18" s="498">
        <v>6740</v>
      </c>
      <c r="P18" s="498">
        <f t="shared" si="4"/>
        <v>368050</v>
      </c>
      <c r="Q18" s="497">
        <f t="shared" si="5"/>
        <v>65.329999999999984</v>
      </c>
      <c r="R18" s="499">
        <f t="shared" si="6"/>
        <v>1.2299</v>
      </c>
      <c r="S18" s="500">
        <f t="shared" si="7"/>
        <v>8420</v>
      </c>
      <c r="T18" s="499">
        <f t="shared" si="8"/>
        <v>1.0234000000000001</v>
      </c>
    </row>
    <row r="19" spans="1:20" s="501" customFormat="1" ht="15.75" customHeight="1">
      <c r="A19" s="495" t="s">
        <v>697</v>
      </c>
      <c r="B19" s="496" t="s">
        <v>1014</v>
      </c>
      <c r="C19" s="497">
        <f>TRUNC(254+40/60,2)</f>
        <v>254.66</v>
      </c>
      <c r="D19" s="497">
        <f t="shared" si="2"/>
        <v>28</v>
      </c>
      <c r="E19" s="497">
        <f t="shared" si="0"/>
        <v>282.65999999999997</v>
      </c>
      <c r="F19" s="498">
        <v>362050</v>
      </c>
      <c r="G19" s="498">
        <v>6220</v>
      </c>
      <c r="H19" s="498">
        <f t="shared" si="1"/>
        <v>368270</v>
      </c>
      <c r="I19" s="495" t="s">
        <v>697</v>
      </c>
      <c r="J19" s="496" t="s">
        <v>698</v>
      </c>
      <c r="K19" s="497">
        <f>TRUNC(314+30/60,2)</f>
        <v>314.5</v>
      </c>
      <c r="L19" s="497">
        <f t="shared" ref="L19:L28" si="10">TRUNC(41+0/60,2)</f>
        <v>41</v>
      </c>
      <c r="M19" s="497">
        <f t="shared" si="3"/>
        <v>355.5</v>
      </c>
      <c r="N19" s="498">
        <v>353700</v>
      </c>
      <c r="O19" s="498">
        <v>6550</v>
      </c>
      <c r="P19" s="498">
        <f t="shared" si="4"/>
        <v>360250</v>
      </c>
      <c r="Q19" s="497">
        <f t="shared" si="5"/>
        <v>72.840000000000032</v>
      </c>
      <c r="R19" s="499">
        <f t="shared" si="6"/>
        <v>1.2576000000000001</v>
      </c>
      <c r="S19" s="500">
        <f t="shared" si="7"/>
        <v>-8020</v>
      </c>
      <c r="T19" s="499">
        <f t="shared" si="8"/>
        <v>0.97819999999999996</v>
      </c>
    </row>
    <row r="20" spans="1:20" s="501" customFormat="1" ht="15.75" customHeight="1">
      <c r="A20" s="495" t="s">
        <v>699</v>
      </c>
      <c r="B20" s="496" t="s">
        <v>1015</v>
      </c>
      <c r="C20" s="497">
        <f>TRUNC(255+30/60,2)</f>
        <v>255.5</v>
      </c>
      <c r="D20" s="497">
        <f t="shared" si="2"/>
        <v>28</v>
      </c>
      <c r="E20" s="497">
        <f t="shared" si="0"/>
        <v>283.5</v>
      </c>
      <c r="F20" s="498">
        <v>361880</v>
      </c>
      <c r="G20" s="498">
        <v>6570</v>
      </c>
      <c r="H20" s="498">
        <f t="shared" si="1"/>
        <v>368450</v>
      </c>
      <c r="I20" s="495" t="s">
        <v>699</v>
      </c>
      <c r="J20" s="496" t="s">
        <v>700</v>
      </c>
      <c r="K20" s="497">
        <f>TRUNC(317+40/60,2)</f>
        <v>317.66000000000003</v>
      </c>
      <c r="L20" s="497">
        <f t="shared" si="10"/>
        <v>41</v>
      </c>
      <c r="M20" s="497">
        <f t="shared" si="3"/>
        <v>358.66</v>
      </c>
      <c r="N20" s="498">
        <v>351920</v>
      </c>
      <c r="O20" s="498">
        <v>3970</v>
      </c>
      <c r="P20" s="498">
        <f t="shared" si="4"/>
        <v>355890</v>
      </c>
      <c r="Q20" s="497">
        <f t="shared" si="5"/>
        <v>75.160000000000025</v>
      </c>
      <c r="R20" s="499">
        <f t="shared" si="6"/>
        <v>1.2650999999999999</v>
      </c>
      <c r="S20" s="500">
        <f t="shared" si="7"/>
        <v>-12560</v>
      </c>
      <c r="T20" s="499">
        <f t="shared" si="8"/>
        <v>0.96589999999999998</v>
      </c>
    </row>
    <row r="21" spans="1:20" s="501" customFormat="1" ht="15.75" customHeight="1">
      <c r="A21" s="495" t="s">
        <v>701</v>
      </c>
      <c r="B21" s="496" t="s">
        <v>1016</v>
      </c>
      <c r="C21" s="497">
        <f>TRUNC(254+30/60,2)</f>
        <v>254.5</v>
      </c>
      <c r="D21" s="497">
        <f t="shared" si="2"/>
        <v>28</v>
      </c>
      <c r="E21" s="497">
        <f t="shared" si="0"/>
        <v>282.5</v>
      </c>
      <c r="F21" s="498">
        <v>358410</v>
      </c>
      <c r="G21" s="498">
        <v>2740</v>
      </c>
      <c r="H21" s="498">
        <f t="shared" si="1"/>
        <v>361150</v>
      </c>
      <c r="I21" s="495" t="s">
        <v>701</v>
      </c>
      <c r="J21" s="496" t="s">
        <v>702</v>
      </c>
      <c r="K21" s="497">
        <f>TRUNC(310+40/60,2)</f>
        <v>310.66000000000003</v>
      </c>
      <c r="L21" s="497">
        <f t="shared" si="10"/>
        <v>41</v>
      </c>
      <c r="M21" s="497">
        <f t="shared" si="3"/>
        <v>351.66</v>
      </c>
      <c r="N21" s="498">
        <v>356120</v>
      </c>
      <c r="O21" s="498">
        <v>5890</v>
      </c>
      <c r="P21" s="498">
        <f t="shared" si="4"/>
        <v>362010</v>
      </c>
      <c r="Q21" s="497">
        <f t="shared" si="5"/>
        <v>69.160000000000025</v>
      </c>
      <c r="R21" s="499">
        <f t="shared" si="6"/>
        <v>1.2447999999999999</v>
      </c>
      <c r="S21" s="500">
        <f t="shared" si="7"/>
        <v>860</v>
      </c>
      <c r="T21" s="499">
        <f t="shared" si="8"/>
        <v>1.0023</v>
      </c>
    </row>
    <row r="22" spans="1:20" s="501" customFormat="1" ht="15.75" customHeight="1">
      <c r="A22" s="495" t="s">
        <v>703</v>
      </c>
      <c r="B22" s="496" t="s">
        <v>1017</v>
      </c>
      <c r="C22" s="497">
        <f>TRUNC(255+10/60,2)</f>
        <v>255.16</v>
      </c>
      <c r="D22" s="497">
        <f t="shared" si="2"/>
        <v>28</v>
      </c>
      <c r="E22" s="497">
        <f t="shared" si="0"/>
        <v>283.15999999999997</v>
      </c>
      <c r="F22" s="498">
        <v>375310</v>
      </c>
      <c r="G22" s="498">
        <v>5180</v>
      </c>
      <c r="H22" s="498">
        <f t="shared" si="1"/>
        <v>380490</v>
      </c>
      <c r="I22" s="495" t="s">
        <v>703</v>
      </c>
      <c r="J22" s="496" t="s">
        <v>704</v>
      </c>
      <c r="K22" s="497">
        <f>TRUNC(310+10/60,2)</f>
        <v>310.16000000000003</v>
      </c>
      <c r="L22" s="497">
        <f t="shared" si="10"/>
        <v>41</v>
      </c>
      <c r="M22" s="497">
        <f t="shared" si="3"/>
        <v>351.16</v>
      </c>
      <c r="N22" s="498">
        <v>361150</v>
      </c>
      <c r="O22" s="498">
        <v>3180</v>
      </c>
      <c r="P22" s="498">
        <f t="shared" si="4"/>
        <v>364330</v>
      </c>
      <c r="Q22" s="497">
        <f t="shared" si="5"/>
        <v>68.000000000000057</v>
      </c>
      <c r="R22" s="499">
        <f t="shared" si="6"/>
        <v>1.2401</v>
      </c>
      <c r="S22" s="500">
        <f t="shared" si="7"/>
        <v>-16160</v>
      </c>
      <c r="T22" s="499">
        <f t="shared" si="8"/>
        <v>0.95750000000000002</v>
      </c>
    </row>
    <row r="23" spans="1:20" s="501" customFormat="1" ht="15.75" customHeight="1">
      <c r="A23" s="495" t="s">
        <v>705</v>
      </c>
      <c r="B23" s="496" t="s">
        <v>1018</v>
      </c>
      <c r="C23" s="497">
        <f>TRUNC(256+10/60,2)</f>
        <v>256.16000000000003</v>
      </c>
      <c r="D23" s="497">
        <f t="shared" si="2"/>
        <v>28</v>
      </c>
      <c r="E23" s="497">
        <f t="shared" si="0"/>
        <v>284.16000000000003</v>
      </c>
      <c r="F23" s="498">
        <v>381530</v>
      </c>
      <c r="G23" s="498">
        <v>10080</v>
      </c>
      <c r="H23" s="498">
        <f t="shared" si="1"/>
        <v>391610</v>
      </c>
      <c r="I23" s="495" t="s">
        <v>705</v>
      </c>
      <c r="J23" s="496" t="s">
        <v>706</v>
      </c>
      <c r="K23" s="497">
        <f>TRUNC(353+30/60,2)</f>
        <v>353.5</v>
      </c>
      <c r="L23" s="497">
        <f t="shared" si="10"/>
        <v>41</v>
      </c>
      <c r="M23" s="497">
        <f t="shared" si="3"/>
        <v>394.5</v>
      </c>
      <c r="N23" s="498">
        <v>379760</v>
      </c>
      <c r="O23" s="498">
        <v>5970</v>
      </c>
      <c r="P23" s="498">
        <f t="shared" si="4"/>
        <v>385730</v>
      </c>
      <c r="Q23" s="497">
        <f t="shared" si="5"/>
        <v>110.33999999999997</v>
      </c>
      <c r="R23" s="499">
        <f t="shared" si="6"/>
        <v>1.3883000000000001</v>
      </c>
      <c r="S23" s="500">
        <f t="shared" si="7"/>
        <v>-5880</v>
      </c>
      <c r="T23" s="499">
        <f t="shared" si="8"/>
        <v>0.9849</v>
      </c>
    </row>
    <row r="24" spans="1:20" s="501" customFormat="1" ht="15.75" customHeight="1">
      <c r="A24" s="495" t="s">
        <v>707</v>
      </c>
      <c r="B24" s="496" t="s">
        <v>1019</v>
      </c>
      <c r="C24" s="497">
        <f>TRUNC(254+10/60,2)</f>
        <v>254.16</v>
      </c>
      <c r="D24" s="497">
        <f t="shared" si="2"/>
        <v>28</v>
      </c>
      <c r="E24" s="497">
        <f t="shared" si="0"/>
        <v>282.15999999999997</v>
      </c>
      <c r="F24" s="498">
        <v>371520</v>
      </c>
      <c r="G24" s="498">
        <v>3940</v>
      </c>
      <c r="H24" s="498">
        <f t="shared" si="1"/>
        <v>375460</v>
      </c>
      <c r="I24" s="495" t="s">
        <v>707</v>
      </c>
      <c r="J24" s="496" t="s">
        <v>708</v>
      </c>
      <c r="K24" s="497">
        <f>TRUNC(310+10/60,2)</f>
        <v>310.16000000000003</v>
      </c>
      <c r="L24" s="497">
        <f t="shared" si="10"/>
        <v>41</v>
      </c>
      <c r="M24" s="497">
        <f t="shared" si="3"/>
        <v>351.16</v>
      </c>
      <c r="N24" s="498">
        <v>360070</v>
      </c>
      <c r="O24" s="498">
        <v>6490</v>
      </c>
      <c r="P24" s="498">
        <f t="shared" si="4"/>
        <v>366560</v>
      </c>
      <c r="Q24" s="497">
        <f t="shared" si="5"/>
        <v>69.000000000000057</v>
      </c>
      <c r="R24" s="499">
        <f t="shared" si="6"/>
        <v>1.2444999999999999</v>
      </c>
      <c r="S24" s="500">
        <f t="shared" si="7"/>
        <v>-8900</v>
      </c>
      <c r="T24" s="499">
        <f t="shared" si="8"/>
        <v>0.97619999999999996</v>
      </c>
    </row>
    <row r="25" spans="1:20" s="501" customFormat="1" ht="15.75" customHeight="1">
      <c r="A25" s="495" t="s">
        <v>709</v>
      </c>
      <c r="B25" s="496" t="s">
        <v>1020</v>
      </c>
      <c r="C25" s="497">
        <f>TRUNC(255+40/60,2)</f>
        <v>255.66</v>
      </c>
      <c r="D25" s="497">
        <f t="shared" si="2"/>
        <v>28</v>
      </c>
      <c r="E25" s="497">
        <f t="shared" si="0"/>
        <v>283.65999999999997</v>
      </c>
      <c r="F25" s="498">
        <v>371070</v>
      </c>
      <c r="G25" s="498">
        <v>11500</v>
      </c>
      <c r="H25" s="498">
        <f t="shared" si="1"/>
        <v>382570</v>
      </c>
      <c r="I25" s="495" t="s">
        <v>709</v>
      </c>
      <c r="J25" s="496" t="s">
        <v>710</v>
      </c>
      <c r="K25" s="497">
        <f>TRUNC(311+40/60,2)</f>
        <v>311.66000000000003</v>
      </c>
      <c r="L25" s="497">
        <f t="shared" si="10"/>
        <v>41</v>
      </c>
      <c r="M25" s="497">
        <f t="shared" si="3"/>
        <v>352.66</v>
      </c>
      <c r="N25" s="498">
        <v>378220</v>
      </c>
      <c r="O25" s="498">
        <v>7300</v>
      </c>
      <c r="P25" s="498">
        <f t="shared" si="4"/>
        <v>385520</v>
      </c>
      <c r="Q25" s="497">
        <f t="shared" si="5"/>
        <v>69.000000000000057</v>
      </c>
      <c r="R25" s="499">
        <f t="shared" si="6"/>
        <v>1.2432000000000001</v>
      </c>
      <c r="S25" s="500">
        <f t="shared" si="7"/>
        <v>2950</v>
      </c>
      <c r="T25" s="499">
        <f t="shared" si="8"/>
        <v>1.0077</v>
      </c>
    </row>
    <row r="26" spans="1:20" s="501" customFormat="1" ht="15.75" customHeight="1">
      <c r="A26" s="495" t="s">
        <v>711</v>
      </c>
      <c r="B26" s="496" t="s">
        <v>1021</v>
      </c>
      <c r="C26" s="497">
        <f>TRUNC(256+10/60,2)</f>
        <v>256.16000000000003</v>
      </c>
      <c r="D26" s="497">
        <f t="shared" si="2"/>
        <v>28</v>
      </c>
      <c r="E26" s="497">
        <f>SUM(C26:D26)</f>
        <v>284.16000000000003</v>
      </c>
      <c r="F26" s="498">
        <v>382900</v>
      </c>
      <c r="G26" s="498">
        <v>6570</v>
      </c>
      <c r="H26" s="498">
        <f>SUM(F26:G26)</f>
        <v>389470</v>
      </c>
      <c r="I26" s="495" t="s">
        <v>711</v>
      </c>
      <c r="J26" s="496" t="s">
        <v>712</v>
      </c>
      <c r="K26" s="497">
        <f>TRUNC(312+40/60,2)</f>
        <v>312.66000000000003</v>
      </c>
      <c r="L26" s="497">
        <f t="shared" si="10"/>
        <v>41</v>
      </c>
      <c r="M26" s="497">
        <f t="shared" si="3"/>
        <v>353.66</v>
      </c>
      <c r="N26" s="498">
        <v>373600</v>
      </c>
      <c r="O26" s="498">
        <v>5610</v>
      </c>
      <c r="P26" s="498">
        <f t="shared" si="4"/>
        <v>379210</v>
      </c>
      <c r="Q26" s="497">
        <f t="shared" si="5"/>
        <v>69.5</v>
      </c>
      <c r="R26" s="499">
        <f t="shared" si="6"/>
        <v>1.2444999999999999</v>
      </c>
      <c r="S26" s="500">
        <f t="shared" si="7"/>
        <v>-10260</v>
      </c>
      <c r="T26" s="499">
        <f t="shared" si="8"/>
        <v>0.97360000000000002</v>
      </c>
    </row>
    <row r="27" spans="1:20" s="501" customFormat="1" ht="15.75" customHeight="1">
      <c r="A27" s="495" t="s">
        <v>713</v>
      </c>
      <c r="B27" s="496" t="s">
        <v>1022</v>
      </c>
      <c r="C27" s="497">
        <f>TRUNC(256+10/60,2)</f>
        <v>256.16000000000003</v>
      </c>
      <c r="D27" s="497">
        <f t="shared" si="2"/>
        <v>28</v>
      </c>
      <c r="E27" s="497">
        <f t="shared" si="0"/>
        <v>284.16000000000003</v>
      </c>
      <c r="F27" s="498">
        <v>385550</v>
      </c>
      <c r="G27" s="498">
        <v>10250</v>
      </c>
      <c r="H27" s="498">
        <f t="shared" si="1"/>
        <v>395800</v>
      </c>
      <c r="I27" s="495" t="s">
        <v>713</v>
      </c>
      <c r="J27" s="496" t="s">
        <v>714</v>
      </c>
      <c r="K27" s="497">
        <f>TRUNC(312+10/60,2)</f>
        <v>312.16000000000003</v>
      </c>
      <c r="L27" s="497">
        <f t="shared" si="10"/>
        <v>41</v>
      </c>
      <c r="M27" s="497">
        <f t="shared" si="3"/>
        <v>353.16</v>
      </c>
      <c r="N27" s="498">
        <v>371710</v>
      </c>
      <c r="O27" s="498">
        <v>7110</v>
      </c>
      <c r="P27" s="498">
        <f t="shared" si="4"/>
        <v>378820</v>
      </c>
      <c r="Q27" s="497">
        <f t="shared" si="5"/>
        <v>69</v>
      </c>
      <c r="R27" s="499">
        <f t="shared" si="6"/>
        <v>1.2427999999999999</v>
      </c>
      <c r="S27" s="500">
        <f t="shared" si="7"/>
        <v>-16980</v>
      </c>
      <c r="T27" s="499">
        <f t="shared" si="8"/>
        <v>0.95699999999999996</v>
      </c>
    </row>
    <row r="28" spans="1:20" s="501" customFormat="1" ht="15.75" customHeight="1">
      <c r="A28" s="495" t="s">
        <v>715</v>
      </c>
      <c r="B28" s="496" t="s">
        <v>1023</v>
      </c>
      <c r="C28" s="497">
        <f>TRUNC(256+0/60,2)</f>
        <v>256</v>
      </c>
      <c r="D28" s="497">
        <f t="shared" si="2"/>
        <v>28</v>
      </c>
      <c r="E28" s="497">
        <f t="shared" si="0"/>
        <v>284</v>
      </c>
      <c r="F28" s="498">
        <v>378580</v>
      </c>
      <c r="G28" s="498">
        <v>5610</v>
      </c>
      <c r="H28" s="498">
        <f t="shared" si="1"/>
        <v>384190</v>
      </c>
      <c r="I28" s="495" t="s">
        <v>715</v>
      </c>
      <c r="J28" s="496" t="s">
        <v>716</v>
      </c>
      <c r="K28" s="497">
        <f>TRUNC(311+40/60,2)</f>
        <v>311.66000000000003</v>
      </c>
      <c r="L28" s="497">
        <f t="shared" si="10"/>
        <v>41</v>
      </c>
      <c r="M28" s="497">
        <f t="shared" si="3"/>
        <v>352.66</v>
      </c>
      <c r="N28" s="498">
        <v>392820</v>
      </c>
      <c r="O28" s="498">
        <v>4640</v>
      </c>
      <c r="P28" s="498">
        <f t="shared" si="4"/>
        <v>397460</v>
      </c>
      <c r="Q28" s="497">
        <f t="shared" si="5"/>
        <v>68.660000000000025</v>
      </c>
      <c r="R28" s="499">
        <f t="shared" si="6"/>
        <v>1.2417</v>
      </c>
      <c r="S28" s="500">
        <f t="shared" si="7"/>
        <v>13270</v>
      </c>
      <c r="T28" s="499">
        <f t="shared" si="8"/>
        <v>1.0345</v>
      </c>
    </row>
    <row r="29" spans="1:20" s="501" customFormat="1" ht="15.75" customHeight="1">
      <c r="A29" s="495" t="s">
        <v>717</v>
      </c>
      <c r="B29" s="496" t="s">
        <v>1024</v>
      </c>
      <c r="C29" s="497">
        <f>TRUNC(256+40/60,2)</f>
        <v>256.66000000000003</v>
      </c>
      <c r="D29" s="497">
        <f t="shared" si="2"/>
        <v>28</v>
      </c>
      <c r="E29" s="497">
        <f t="shared" si="0"/>
        <v>284.66000000000003</v>
      </c>
      <c r="F29" s="498">
        <v>422830</v>
      </c>
      <c r="G29" s="498">
        <v>10380</v>
      </c>
      <c r="H29" s="498">
        <f t="shared" si="1"/>
        <v>433210</v>
      </c>
      <c r="I29" s="495" t="s">
        <v>717</v>
      </c>
      <c r="J29" s="496" t="s">
        <v>718</v>
      </c>
      <c r="K29" s="497">
        <f>TRUNC(309+40/60,2)</f>
        <v>309.66000000000003</v>
      </c>
      <c r="L29" s="497">
        <f>TRUNC(40+50/60,2)</f>
        <v>40.83</v>
      </c>
      <c r="M29" s="497">
        <f t="shared" si="3"/>
        <v>350.49</v>
      </c>
      <c r="N29" s="498">
        <v>384419</v>
      </c>
      <c r="O29" s="498">
        <v>5860</v>
      </c>
      <c r="P29" s="498">
        <f t="shared" si="4"/>
        <v>390279</v>
      </c>
      <c r="Q29" s="497">
        <f t="shared" si="5"/>
        <v>65.829999999999984</v>
      </c>
      <c r="R29" s="499">
        <f t="shared" si="6"/>
        <v>1.2312000000000001</v>
      </c>
      <c r="S29" s="500">
        <f t="shared" si="7"/>
        <v>-42931</v>
      </c>
      <c r="T29" s="499">
        <f t="shared" si="8"/>
        <v>0.90090000000000003</v>
      </c>
    </row>
    <row r="30" spans="1:20" s="501" customFormat="1" ht="15.75" customHeight="1">
      <c r="A30" s="495" t="s">
        <v>719</v>
      </c>
      <c r="B30" s="496" t="s">
        <v>1025</v>
      </c>
      <c r="C30" s="497">
        <f>TRUNC(256+0/60,2)</f>
        <v>256</v>
      </c>
      <c r="D30" s="497">
        <f t="shared" si="2"/>
        <v>28</v>
      </c>
      <c r="E30" s="497">
        <f t="shared" si="0"/>
        <v>284</v>
      </c>
      <c r="F30" s="498">
        <v>403450</v>
      </c>
      <c r="G30" s="498">
        <v>8640</v>
      </c>
      <c r="H30" s="498">
        <f t="shared" si="1"/>
        <v>412090</v>
      </c>
      <c r="I30" s="495" t="s">
        <v>719</v>
      </c>
      <c r="J30" s="496" t="s">
        <v>720</v>
      </c>
      <c r="K30" s="497">
        <f>TRUNC(381+40/60,2)</f>
        <v>381.66</v>
      </c>
      <c r="L30" s="497">
        <f>TRUNC(40+50/60,2)</f>
        <v>40.83</v>
      </c>
      <c r="M30" s="497">
        <f t="shared" si="3"/>
        <v>422.49</v>
      </c>
      <c r="N30" s="498">
        <v>382080</v>
      </c>
      <c r="O30" s="498">
        <v>7490</v>
      </c>
      <c r="P30" s="498">
        <f t="shared" si="4"/>
        <v>389570</v>
      </c>
      <c r="Q30" s="497">
        <f t="shared" si="5"/>
        <v>138.49</v>
      </c>
      <c r="R30" s="499">
        <f t="shared" si="6"/>
        <v>1.4876</v>
      </c>
      <c r="S30" s="500">
        <f t="shared" si="7"/>
        <v>-22520</v>
      </c>
      <c r="T30" s="499">
        <f t="shared" si="8"/>
        <v>0.94530000000000003</v>
      </c>
    </row>
    <row r="31" spans="1:20" s="501" customFormat="1" ht="15.75" customHeight="1">
      <c r="A31" s="495" t="s">
        <v>721</v>
      </c>
      <c r="B31" s="496" t="s">
        <v>1026</v>
      </c>
      <c r="C31" s="497">
        <f>TRUNC(255+0/60,2)</f>
        <v>255</v>
      </c>
      <c r="D31" s="497">
        <f t="shared" si="2"/>
        <v>28</v>
      </c>
      <c r="E31" s="497">
        <f t="shared" si="0"/>
        <v>283</v>
      </c>
      <c r="F31" s="498">
        <v>409380</v>
      </c>
      <c r="G31" s="498">
        <v>6990</v>
      </c>
      <c r="H31" s="498">
        <f t="shared" si="1"/>
        <v>416370</v>
      </c>
      <c r="I31" s="495" t="s">
        <v>721</v>
      </c>
      <c r="J31" s="496" t="s">
        <v>722</v>
      </c>
      <c r="K31" s="497">
        <f>TRUNC(312+40/60,2)</f>
        <v>312.66000000000003</v>
      </c>
      <c r="L31" s="497">
        <f>TRUNC(43+50/60,2)</f>
        <v>43.83</v>
      </c>
      <c r="M31" s="497">
        <f t="shared" si="3"/>
        <v>356.49</v>
      </c>
      <c r="N31" s="498">
        <v>387420</v>
      </c>
      <c r="O31" s="498">
        <v>6540</v>
      </c>
      <c r="P31" s="498">
        <f t="shared" si="4"/>
        <v>393960</v>
      </c>
      <c r="Q31" s="497">
        <f t="shared" si="5"/>
        <v>73.490000000000009</v>
      </c>
      <c r="R31" s="499">
        <f t="shared" si="6"/>
        <v>1.2596000000000001</v>
      </c>
      <c r="S31" s="500">
        <f t="shared" si="7"/>
        <v>-22410</v>
      </c>
      <c r="T31" s="499">
        <f t="shared" si="8"/>
        <v>0.94610000000000005</v>
      </c>
    </row>
    <row r="32" spans="1:20" s="501" customFormat="1" ht="15.75" customHeight="1">
      <c r="A32" s="495"/>
      <c r="B32" s="496"/>
      <c r="C32" s="497"/>
      <c r="D32" s="497"/>
      <c r="E32" s="497"/>
      <c r="F32" s="498"/>
      <c r="G32" s="498"/>
      <c r="H32" s="498"/>
      <c r="I32" s="495"/>
      <c r="J32" s="496"/>
      <c r="K32" s="497"/>
      <c r="L32" s="497"/>
      <c r="M32" s="497"/>
      <c r="N32" s="498"/>
      <c r="O32" s="498"/>
      <c r="P32" s="498"/>
      <c r="Q32" s="497"/>
      <c r="R32" s="502"/>
      <c r="S32" s="500"/>
      <c r="T32" s="502"/>
    </row>
    <row r="33" spans="1:23" s="501" customFormat="1" ht="15.75" customHeight="1">
      <c r="A33" s="503" t="s">
        <v>667</v>
      </c>
      <c r="B33" s="504"/>
      <c r="C33" s="505"/>
      <c r="D33" s="505"/>
      <c r="E33" s="505">
        <f>SUM(E6:E32)</f>
        <v>7314.0899999999983</v>
      </c>
      <c r="F33" s="506"/>
      <c r="G33" s="506"/>
      <c r="H33" s="507">
        <f>SUM(H6:H32)</f>
        <v>9705280</v>
      </c>
      <c r="I33" s="503" t="s">
        <v>667</v>
      </c>
      <c r="J33" s="504"/>
      <c r="K33" s="505"/>
      <c r="L33" s="505"/>
      <c r="M33" s="505">
        <f>SUM(M6:M32)</f>
        <v>9177.4599999999973</v>
      </c>
      <c r="N33" s="506"/>
      <c r="O33" s="506"/>
      <c r="P33" s="507">
        <f>SUM(P6:P32)</f>
        <v>9746459</v>
      </c>
      <c r="Q33" s="505">
        <f>SUM(Q6:Q32)</f>
        <v>1863.37</v>
      </c>
      <c r="R33" s="508">
        <f>TRUNC(M33/E33,4)</f>
        <v>1.2546999999999999</v>
      </c>
      <c r="S33" s="507">
        <f>SUM(S6:S32)</f>
        <v>41179</v>
      </c>
      <c r="T33" s="508">
        <f>TRUNC(P33/H33,4)</f>
        <v>1.0042</v>
      </c>
    </row>
    <row r="34" spans="1:23" s="501" customFormat="1" ht="15.75" customHeight="1">
      <c r="A34" s="503" t="s">
        <v>723</v>
      </c>
      <c r="B34" s="504"/>
      <c r="C34" s="505"/>
      <c r="D34" s="505"/>
      <c r="E34" s="505">
        <f>TRUNC(AVERAGE(E6:E31),2)</f>
        <v>281.31</v>
      </c>
      <c r="F34" s="506"/>
      <c r="G34" s="506"/>
      <c r="H34" s="505">
        <f>TRUNC(AVERAGE(H6:H31),2)</f>
        <v>373280</v>
      </c>
      <c r="I34" s="503" t="s">
        <v>723</v>
      </c>
      <c r="J34" s="504"/>
      <c r="K34" s="505"/>
      <c r="L34" s="505"/>
      <c r="M34" s="505">
        <f>TRUNC(AVERAGE(M6:M31),2)</f>
        <v>352.97</v>
      </c>
      <c r="N34" s="506"/>
      <c r="O34" s="506"/>
      <c r="P34" s="505">
        <f>TRUNC(AVERAGE(P6:P31),2)</f>
        <v>374863.8</v>
      </c>
      <c r="Q34" s="505">
        <f>M34-E34</f>
        <v>71.660000000000025</v>
      </c>
      <c r="R34" s="508">
        <f>TRUNC(M34/E34,4)</f>
        <v>1.2546999999999999</v>
      </c>
      <c r="S34" s="509">
        <f>P34-H34</f>
        <v>1583.7999999999884</v>
      </c>
      <c r="T34" s="508">
        <f>TRUNC(P34/H34,4)</f>
        <v>1.0042</v>
      </c>
    </row>
    <row r="35" spans="1:23" s="3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V35" s="510">
        <f>기간현황!M12*4</f>
        <v>3968</v>
      </c>
    </row>
    <row r="36" spans="1:23" s="3" customFormat="1" ht="15" customHeight="1">
      <c r="A36" s="69" t="str">
        <f>"주 1) 표준시간 992시간을 4개 집하장 총시간으로 계산하면 "&amp;FIXED(V35,0)&amp;" 시간이 산정되며, 이는 실작업시간인 "&amp;FIXED(M33,2)&amp;"시간보다 "&amp;FIXED(V36,2)&amp;" 시간이 초과되어 나타나고 있음"</f>
        <v>주 1) 표준시간 992시간을 4개 집하장 총시간으로 계산하면 3,968 시간이 산정되며, 이는 실작업시간인 9,177.46시간보다 5,209.46 시간이 초과되어 나타나고 있음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V36" s="511">
        <f>M33-V35</f>
        <v>5209.4599999999973</v>
      </c>
    </row>
    <row r="37" spans="1:23" s="3" customFormat="1" ht="15" customHeight="1">
      <c r="A37" s="69" t="s">
        <v>1028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3" s="3" customFormat="1" ht="15" customHeight="1">
      <c r="A38" s="69" t="s">
        <v>724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 spans="1:23" s="3" customFormat="1" ht="15" customHeight="1">
      <c r="A39" s="69" t="str">
        <f>"   3) 12인의 실제 총작업시간은 집하장 1개소당 평균 가동시간에 12인을 승하여 산정하게 되는데 이를 산식으로 나타내면 12인 × "&amp;FIXED(M53,2)&amp;"시간 = "&amp;FIXED(V39,2)&amp;"시간으로 산출되어짐"</f>
        <v xml:space="preserve">   3) 12인의 실제 총작업시간은 집하장 1개소당 평균 가동시간에 12인을 승하여 산정하게 되는데 이를 산식으로 나타내면 12인 × 2,294.37시간 = 18,354.96시간으로 산출되어짐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V39" s="512">
        <f>ROUND(8*M53,2)</f>
        <v>18354.96</v>
      </c>
      <c r="W39" s="3">
        <f>ROUND(V39*(1-15%),2)</f>
        <v>15601.72</v>
      </c>
    </row>
    <row r="40" spans="1:23" s="3" customFormat="1" ht="15" customHeight="1">
      <c r="A40" s="69" t="str">
        <f>"   4) 산정된 12인의 총작업시간 "&amp;FIXED(V39,2)&amp;"시간은 기계가동시간으로 작업중의 여유율 15% 감안한 "&amp;FIXED(V39,2)&amp;" × (1-15%) = "&amp;FIXED(W39,2)&amp;"시간이 산출되어짐"</f>
        <v xml:space="preserve">   4) 산정된 12인의 총작업시간 18,354.96시간은 기계가동시간으로 작업중의 여유율 15% 감안한 18,354.96 × (1-15%) = 15,601.72시간이 산출되어짐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3" s="3" customFormat="1" ht="15" customHeight="1">
      <c r="A41" s="69" t="s">
        <v>1033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V41" s="3">
        <f>8*기간현황!M12</f>
        <v>7936</v>
      </c>
    </row>
    <row r="42" spans="1:23" s="3" customFormat="1">
      <c r="A42" s="69" t="str">
        <f>"   6) 실제작업시간과 표준작업시간의 차이 "&amp;FIXED(V42,2)&amp;"시간은 표준작업을 초과하는 실작업시간으로 이를 1인당 표준시간인 992시간으로 나누면 "&amp;FIXED(V43,2)&amp;"인이 산정됨"</f>
        <v xml:space="preserve">   6) 실제작업시간과 표준작업시간의 차이 7,665.72시간은 표준작업을 초과하는 실작업시간으로 이를 1인당 표준시간인 992시간으로 나누면 7.67인이 산정됨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V42" s="3">
        <f>W39-V41</f>
        <v>7665.7199999999993</v>
      </c>
    </row>
    <row r="43" spans="1:23" s="3" customFormat="1">
      <c r="A43" s="69" t="s">
        <v>1034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V43" s="512">
        <f>ROUND(V42/1000,2)</f>
        <v>7.67</v>
      </c>
    </row>
    <row r="44" spans="1:23" s="3" customFormat="1">
      <c r="A44" s="69" t="s">
        <v>1035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3" s="3" customFormat="1">
      <c r="A45" s="6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3" s="3" customFormat="1">
      <c r="A46" s="6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3" s="3" customFormat="1"/>
    <row r="48" spans="1:23" s="3" customFormat="1"/>
    <row r="49" spans="13:14" s="3" customFormat="1"/>
    <row r="50" spans="13:14" s="3" customFormat="1"/>
    <row r="51" spans="13:14" s="3" customFormat="1"/>
    <row r="52" spans="13:14" s="3" customFormat="1"/>
    <row r="53" spans="13:14" s="3" customFormat="1">
      <c r="M53" s="512">
        <f>ROUND(M33/4,2)</f>
        <v>2294.37</v>
      </c>
      <c r="N53" s="3" t="s">
        <v>725</v>
      </c>
    </row>
    <row r="54" spans="13:14" s="3" customFormat="1">
      <c r="M54" s="3">
        <f>M53*8</f>
        <v>18354.96</v>
      </c>
    </row>
    <row r="55" spans="13:14" s="3" customFormat="1"/>
    <row r="56" spans="13:14" s="3" customFormat="1"/>
    <row r="57" spans="13:14" s="3" customFormat="1"/>
    <row r="58" spans="13:14" s="3" customFormat="1"/>
    <row r="59" spans="13:14" s="3" customFormat="1"/>
    <row r="60" spans="13:14" s="3" customFormat="1"/>
    <row r="61" spans="13:14" s="3" customFormat="1"/>
    <row r="62" spans="13:14" s="3" customFormat="1"/>
    <row r="63" spans="13:14" s="3" customFormat="1"/>
    <row r="64" spans="13:1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</sheetData>
  <mergeCells count="11">
    <mergeCell ref="N4:P4"/>
    <mergeCell ref="Q4:R4"/>
    <mergeCell ref="S4:T4"/>
    <mergeCell ref="A3:B5"/>
    <mergeCell ref="C3:H3"/>
    <mergeCell ref="I3:J5"/>
    <mergeCell ref="K3:P3"/>
    <mergeCell ref="Q3:T3"/>
    <mergeCell ref="C4:E4"/>
    <mergeCell ref="F4:H4"/>
    <mergeCell ref="K4:M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7" orientation="landscape" r:id="rId1"/>
  <headerFooter>
    <oddFooter>&amp;C&amp;"바탕체,보통"&amp;13- &amp;P -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3"/>
  <sheetViews>
    <sheetView view="pageBreakPreview" zoomScaleNormal="100" zoomScaleSheetLayoutView="100" workbookViewId="0">
      <selection activeCell="M12" sqref="M12"/>
    </sheetView>
  </sheetViews>
  <sheetFormatPr defaultRowHeight="13.5"/>
  <cols>
    <col min="1" max="1" width="11.6640625" style="470" customWidth="1"/>
    <col min="2" max="9" width="8" style="470" customWidth="1"/>
    <col min="10" max="10" width="13.5546875" style="470" customWidth="1"/>
    <col min="11" max="14" width="8.88671875" style="470"/>
    <col min="15" max="16384" width="8.88671875" style="28"/>
  </cols>
  <sheetData>
    <row r="1" spans="1:256">
      <c r="A1" s="1" t="str">
        <f>"[ 표 : "&amp;J1&amp;" ] "</f>
        <v xml:space="preserve">[ 표 : 15 ] </v>
      </c>
      <c r="J1" s="470">
        <f>가동시간!V1+1</f>
        <v>15</v>
      </c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  <c r="AK1" s="470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0"/>
      <c r="BD1" s="470"/>
      <c r="BE1" s="470"/>
      <c r="BF1" s="470"/>
      <c r="BG1" s="470"/>
      <c r="BH1" s="470"/>
      <c r="BI1" s="470"/>
      <c r="BJ1" s="470"/>
      <c r="BK1" s="470"/>
      <c r="BL1" s="470"/>
      <c r="BM1" s="470"/>
      <c r="BN1" s="470"/>
      <c r="BO1" s="470"/>
      <c r="BP1" s="470"/>
      <c r="BQ1" s="470"/>
      <c r="BR1" s="470"/>
      <c r="BS1" s="470"/>
      <c r="BT1" s="470"/>
      <c r="BU1" s="470"/>
      <c r="BV1" s="470"/>
      <c r="BW1" s="470"/>
      <c r="BX1" s="470"/>
      <c r="BY1" s="470"/>
      <c r="BZ1" s="470"/>
      <c r="CA1" s="470"/>
      <c r="CB1" s="470"/>
      <c r="CC1" s="470"/>
      <c r="CD1" s="470"/>
      <c r="CE1" s="470"/>
      <c r="CF1" s="470"/>
      <c r="CG1" s="470"/>
      <c r="CH1" s="470"/>
      <c r="CI1" s="470"/>
      <c r="CJ1" s="470"/>
      <c r="CK1" s="470"/>
      <c r="CL1" s="470"/>
      <c r="CM1" s="470"/>
      <c r="CN1" s="470"/>
      <c r="CO1" s="470"/>
      <c r="CP1" s="470"/>
      <c r="CQ1" s="470"/>
      <c r="CR1" s="470"/>
      <c r="CS1" s="470"/>
      <c r="CT1" s="470"/>
      <c r="CU1" s="470"/>
      <c r="CV1" s="470"/>
      <c r="CW1" s="470"/>
      <c r="CX1" s="470"/>
      <c r="CY1" s="470"/>
      <c r="CZ1" s="470"/>
      <c r="DA1" s="470"/>
      <c r="DB1" s="470"/>
      <c r="DC1" s="470"/>
      <c r="DD1" s="470"/>
      <c r="DE1" s="470"/>
      <c r="DF1" s="470"/>
      <c r="DG1" s="470"/>
      <c r="DH1" s="470"/>
      <c r="DI1" s="470"/>
      <c r="DJ1" s="470"/>
      <c r="DK1" s="470"/>
      <c r="DL1" s="470"/>
      <c r="DM1" s="470"/>
      <c r="DN1" s="470"/>
      <c r="DO1" s="470"/>
      <c r="DP1" s="470"/>
      <c r="DQ1" s="470"/>
      <c r="DR1" s="470"/>
      <c r="DS1" s="470"/>
      <c r="DT1" s="470"/>
      <c r="DU1" s="470"/>
      <c r="DV1" s="470"/>
      <c r="DW1" s="470"/>
      <c r="DX1" s="470"/>
      <c r="DY1" s="470"/>
      <c r="DZ1" s="470"/>
      <c r="EA1" s="470"/>
      <c r="EB1" s="470"/>
      <c r="EC1" s="470"/>
      <c r="ED1" s="470"/>
      <c r="EE1" s="470"/>
      <c r="EF1" s="470"/>
      <c r="EG1" s="470"/>
      <c r="EH1" s="470"/>
      <c r="EI1" s="470"/>
      <c r="EJ1" s="470"/>
      <c r="EK1" s="470"/>
      <c r="EL1" s="470"/>
      <c r="EM1" s="470"/>
      <c r="EN1" s="470"/>
      <c r="EO1" s="470"/>
      <c r="EP1" s="470"/>
      <c r="EQ1" s="470"/>
      <c r="ER1" s="470"/>
      <c r="ES1" s="470"/>
      <c r="ET1" s="470"/>
      <c r="EU1" s="470"/>
      <c r="EV1" s="470"/>
      <c r="EW1" s="470"/>
      <c r="EX1" s="470"/>
      <c r="EY1" s="470"/>
      <c r="EZ1" s="470"/>
      <c r="FA1" s="470"/>
      <c r="FB1" s="470"/>
      <c r="FC1" s="470"/>
      <c r="FD1" s="470"/>
      <c r="FE1" s="470"/>
      <c r="FF1" s="470"/>
      <c r="FG1" s="470"/>
      <c r="FH1" s="470"/>
      <c r="FI1" s="470"/>
      <c r="FJ1" s="470"/>
      <c r="FK1" s="470"/>
      <c r="FL1" s="470"/>
      <c r="FM1" s="470"/>
      <c r="FN1" s="470"/>
      <c r="FO1" s="470"/>
      <c r="FP1" s="470"/>
      <c r="FQ1" s="470"/>
      <c r="FR1" s="470"/>
      <c r="FS1" s="470"/>
      <c r="FT1" s="470"/>
      <c r="FU1" s="470"/>
      <c r="FV1" s="470"/>
      <c r="FW1" s="470"/>
      <c r="FX1" s="470"/>
      <c r="FY1" s="470"/>
      <c r="FZ1" s="470"/>
      <c r="GA1" s="470"/>
      <c r="GB1" s="470"/>
      <c r="GC1" s="470"/>
      <c r="GD1" s="470"/>
      <c r="GE1" s="470"/>
      <c r="GF1" s="470"/>
      <c r="GG1" s="470"/>
      <c r="GH1" s="470"/>
      <c r="GI1" s="470"/>
      <c r="GJ1" s="470"/>
      <c r="GK1" s="470"/>
      <c r="GL1" s="470"/>
      <c r="GM1" s="470"/>
      <c r="GN1" s="470"/>
      <c r="GO1" s="470"/>
      <c r="GP1" s="470"/>
      <c r="GQ1" s="470"/>
      <c r="GR1" s="470"/>
      <c r="GS1" s="470"/>
      <c r="GT1" s="470"/>
      <c r="GU1" s="470"/>
      <c r="GV1" s="470"/>
      <c r="GW1" s="470"/>
      <c r="GX1" s="470"/>
      <c r="GY1" s="470"/>
      <c r="GZ1" s="470"/>
      <c r="HA1" s="470"/>
      <c r="HB1" s="470"/>
      <c r="HC1" s="470"/>
      <c r="HD1" s="470"/>
      <c r="HE1" s="470"/>
      <c r="HF1" s="470"/>
      <c r="HG1" s="470"/>
      <c r="HH1" s="470"/>
      <c r="HI1" s="470"/>
      <c r="HJ1" s="470"/>
      <c r="HK1" s="470"/>
      <c r="HL1" s="470"/>
      <c r="HM1" s="470"/>
      <c r="HN1" s="470"/>
      <c r="HO1" s="470"/>
      <c r="HP1" s="470"/>
      <c r="HQ1" s="470"/>
      <c r="HR1" s="470"/>
      <c r="HS1" s="470"/>
      <c r="HT1" s="470"/>
      <c r="HU1" s="470"/>
      <c r="HV1" s="470"/>
      <c r="HW1" s="470"/>
      <c r="HX1" s="470"/>
      <c r="HY1" s="470"/>
      <c r="HZ1" s="470"/>
      <c r="IA1" s="470"/>
      <c r="IB1" s="470"/>
      <c r="IC1" s="470"/>
      <c r="ID1" s="470"/>
      <c r="IE1" s="470"/>
      <c r="IF1" s="470"/>
      <c r="IG1" s="470"/>
      <c r="IH1" s="470"/>
      <c r="II1" s="470"/>
      <c r="IJ1" s="470"/>
      <c r="IK1" s="470"/>
      <c r="IL1" s="470"/>
      <c r="IM1" s="470"/>
      <c r="IN1" s="470"/>
      <c r="IO1" s="470"/>
      <c r="IP1" s="470"/>
      <c r="IQ1" s="470"/>
      <c r="IR1" s="470"/>
      <c r="IS1" s="470"/>
      <c r="IT1" s="470"/>
      <c r="IU1" s="470"/>
      <c r="IV1" s="470"/>
    </row>
    <row r="2" spans="1:256" ht="25.5">
      <c r="A2" s="471" t="s">
        <v>993</v>
      </c>
      <c r="B2" s="472"/>
      <c r="C2" s="472"/>
      <c r="D2" s="472"/>
      <c r="E2" s="472"/>
      <c r="F2" s="472"/>
      <c r="G2" s="472"/>
      <c r="H2" s="472"/>
      <c r="I2" s="472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473"/>
      <c r="Z2" s="473"/>
      <c r="AA2" s="473"/>
      <c r="AB2" s="473"/>
      <c r="AC2" s="473"/>
      <c r="AD2" s="473"/>
      <c r="AE2" s="473"/>
      <c r="AF2" s="473"/>
      <c r="AG2" s="473"/>
      <c r="AH2" s="473"/>
      <c r="AI2" s="473"/>
      <c r="AJ2" s="473"/>
      <c r="AK2" s="473"/>
      <c r="AL2" s="473"/>
      <c r="AM2" s="473"/>
      <c r="AN2" s="473"/>
      <c r="AO2" s="473"/>
      <c r="AP2" s="473"/>
      <c r="AQ2" s="473"/>
      <c r="AR2" s="473"/>
      <c r="AS2" s="473"/>
      <c r="AT2" s="473"/>
      <c r="AU2" s="473"/>
      <c r="AV2" s="473"/>
      <c r="AW2" s="473"/>
      <c r="AX2" s="473"/>
      <c r="AY2" s="473"/>
      <c r="AZ2" s="473"/>
      <c r="BA2" s="473"/>
      <c r="BB2" s="473"/>
      <c r="BC2" s="473"/>
      <c r="BD2" s="473"/>
      <c r="BE2" s="473"/>
      <c r="BF2" s="473"/>
      <c r="BG2" s="473"/>
      <c r="BH2" s="473"/>
      <c r="BI2" s="473"/>
      <c r="BJ2" s="473"/>
      <c r="BK2" s="473"/>
      <c r="BL2" s="473"/>
      <c r="BM2" s="473"/>
      <c r="BN2" s="473"/>
      <c r="BO2" s="47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473"/>
      <c r="CB2" s="473"/>
      <c r="CC2" s="473"/>
      <c r="CD2" s="473"/>
      <c r="CE2" s="473"/>
      <c r="CF2" s="473"/>
      <c r="CG2" s="473"/>
      <c r="CH2" s="473"/>
      <c r="CI2" s="473"/>
      <c r="CJ2" s="473"/>
      <c r="CK2" s="473"/>
      <c r="CL2" s="473"/>
      <c r="CM2" s="473"/>
      <c r="CN2" s="473"/>
      <c r="CO2" s="473"/>
      <c r="CP2" s="473"/>
      <c r="CQ2" s="473"/>
      <c r="CR2" s="473"/>
      <c r="CS2" s="473"/>
      <c r="CT2" s="473"/>
      <c r="CU2" s="473"/>
      <c r="CV2" s="473"/>
      <c r="CW2" s="473"/>
      <c r="CX2" s="473"/>
      <c r="CY2" s="473"/>
      <c r="CZ2" s="473"/>
      <c r="DA2" s="473"/>
      <c r="DB2" s="473"/>
      <c r="DC2" s="473"/>
      <c r="DD2" s="473"/>
      <c r="DE2" s="473"/>
      <c r="DF2" s="473"/>
      <c r="DG2" s="473"/>
      <c r="DH2" s="473"/>
      <c r="DI2" s="473"/>
      <c r="DJ2" s="473"/>
      <c r="DK2" s="473"/>
      <c r="DL2" s="473"/>
      <c r="DM2" s="473"/>
      <c r="DN2" s="473"/>
      <c r="DO2" s="473"/>
      <c r="DP2" s="473"/>
      <c r="DQ2" s="473"/>
      <c r="DR2" s="473"/>
      <c r="DS2" s="473"/>
      <c r="DT2" s="473"/>
      <c r="DU2" s="473"/>
      <c r="DV2" s="473"/>
      <c r="DW2" s="473"/>
      <c r="DX2" s="473"/>
      <c r="DY2" s="473"/>
      <c r="DZ2" s="473"/>
      <c r="EA2" s="473"/>
      <c r="EB2" s="473"/>
      <c r="EC2" s="473"/>
      <c r="ED2" s="473"/>
      <c r="EE2" s="473"/>
      <c r="EF2" s="473"/>
      <c r="EG2" s="473"/>
      <c r="EH2" s="473"/>
      <c r="EI2" s="473"/>
      <c r="EJ2" s="473"/>
      <c r="EK2" s="473"/>
      <c r="EL2" s="473"/>
      <c r="EM2" s="473"/>
      <c r="EN2" s="473"/>
      <c r="EO2" s="473"/>
      <c r="EP2" s="473"/>
      <c r="EQ2" s="473"/>
      <c r="ER2" s="473"/>
      <c r="ES2" s="473"/>
      <c r="ET2" s="473"/>
      <c r="EU2" s="473"/>
      <c r="EV2" s="473"/>
      <c r="EW2" s="473"/>
      <c r="EX2" s="473"/>
      <c r="EY2" s="473"/>
      <c r="EZ2" s="473"/>
      <c r="FA2" s="473"/>
      <c r="FB2" s="473"/>
      <c r="FC2" s="473"/>
      <c r="FD2" s="473"/>
      <c r="FE2" s="473"/>
      <c r="FF2" s="473"/>
      <c r="FG2" s="473"/>
      <c r="FH2" s="473"/>
      <c r="FI2" s="473"/>
      <c r="FJ2" s="473"/>
      <c r="FK2" s="473"/>
      <c r="FL2" s="473"/>
      <c r="FM2" s="473"/>
      <c r="FN2" s="473"/>
      <c r="FO2" s="473"/>
      <c r="FP2" s="473"/>
      <c r="FQ2" s="473"/>
      <c r="FR2" s="473"/>
      <c r="FS2" s="473"/>
      <c r="FT2" s="473"/>
      <c r="FU2" s="473"/>
      <c r="FV2" s="473"/>
      <c r="FW2" s="473"/>
      <c r="FX2" s="473"/>
      <c r="FY2" s="473"/>
      <c r="FZ2" s="473"/>
      <c r="GA2" s="473"/>
      <c r="GB2" s="473"/>
      <c r="GC2" s="473"/>
      <c r="GD2" s="473"/>
      <c r="GE2" s="473"/>
      <c r="GF2" s="473"/>
      <c r="GG2" s="473"/>
      <c r="GH2" s="473"/>
      <c r="GI2" s="473"/>
      <c r="GJ2" s="473"/>
      <c r="GK2" s="473"/>
      <c r="GL2" s="473"/>
      <c r="GM2" s="473"/>
      <c r="GN2" s="473"/>
      <c r="GO2" s="473"/>
      <c r="GP2" s="473"/>
      <c r="GQ2" s="473"/>
      <c r="GR2" s="473"/>
      <c r="GS2" s="473"/>
      <c r="GT2" s="473"/>
      <c r="GU2" s="473"/>
      <c r="GV2" s="473"/>
      <c r="GW2" s="473"/>
      <c r="GX2" s="473"/>
      <c r="GY2" s="473"/>
      <c r="GZ2" s="473"/>
      <c r="HA2" s="473"/>
      <c r="HB2" s="473"/>
      <c r="HC2" s="473"/>
      <c r="HD2" s="473"/>
      <c r="HE2" s="473"/>
      <c r="HF2" s="473"/>
      <c r="HG2" s="473"/>
      <c r="HH2" s="473"/>
      <c r="HI2" s="473"/>
      <c r="HJ2" s="473"/>
      <c r="HK2" s="473"/>
      <c r="HL2" s="473"/>
      <c r="HM2" s="473"/>
      <c r="HN2" s="473"/>
      <c r="HO2" s="473"/>
      <c r="HP2" s="473"/>
      <c r="HQ2" s="473"/>
      <c r="HR2" s="473"/>
      <c r="HS2" s="473"/>
      <c r="HT2" s="473"/>
      <c r="HU2" s="473"/>
      <c r="HV2" s="473"/>
      <c r="HW2" s="473"/>
      <c r="HX2" s="473"/>
      <c r="HY2" s="473"/>
      <c r="HZ2" s="473"/>
      <c r="IA2" s="473"/>
      <c r="IB2" s="473"/>
      <c r="IC2" s="473"/>
      <c r="ID2" s="473"/>
      <c r="IE2" s="473"/>
      <c r="IF2" s="473"/>
      <c r="IG2" s="473"/>
      <c r="IH2" s="473"/>
      <c r="II2" s="473"/>
      <c r="IJ2" s="473"/>
      <c r="IK2" s="473"/>
      <c r="IL2" s="473"/>
      <c r="IM2" s="473"/>
      <c r="IN2" s="473"/>
      <c r="IO2" s="473"/>
      <c r="IP2" s="473"/>
      <c r="IQ2" s="473"/>
      <c r="IR2" s="473"/>
      <c r="IS2" s="473"/>
      <c r="IT2" s="473"/>
      <c r="IU2" s="473"/>
      <c r="IV2" s="473"/>
    </row>
    <row r="3" spans="1:256" ht="25.5">
      <c r="A3" s="471"/>
      <c r="B3" s="472"/>
      <c r="C3" s="472"/>
      <c r="D3" s="472"/>
      <c r="E3" s="472"/>
      <c r="F3" s="472"/>
      <c r="G3" s="472"/>
      <c r="H3" s="472"/>
      <c r="I3" s="473"/>
      <c r="J3" s="473"/>
      <c r="K3" s="473"/>
      <c r="L3" s="473"/>
      <c r="M3" s="473"/>
      <c r="N3" s="473"/>
      <c r="O3" s="473"/>
      <c r="P3" s="473"/>
      <c r="Q3" s="473"/>
      <c r="R3" s="473"/>
      <c r="S3" s="473"/>
      <c r="T3" s="473"/>
      <c r="U3" s="473"/>
      <c r="V3" s="473"/>
      <c r="W3" s="473"/>
      <c r="X3" s="473"/>
      <c r="Y3" s="473"/>
      <c r="Z3" s="473"/>
      <c r="AA3" s="473"/>
      <c r="AB3" s="473"/>
      <c r="AC3" s="473"/>
      <c r="AD3" s="473"/>
      <c r="AE3" s="473"/>
      <c r="AF3" s="473"/>
      <c r="AG3" s="473"/>
      <c r="AH3" s="473"/>
      <c r="AI3" s="473"/>
      <c r="AJ3" s="473"/>
      <c r="AK3" s="473"/>
      <c r="AL3" s="473"/>
      <c r="AM3" s="473"/>
      <c r="AN3" s="473"/>
      <c r="AO3" s="473"/>
      <c r="AP3" s="473"/>
      <c r="AQ3" s="473"/>
      <c r="AR3" s="473"/>
      <c r="AS3" s="473"/>
      <c r="AT3" s="473"/>
      <c r="AU3" s="473"/>
      <c r="AV3" s="473"/>
      <c r="AW3" s="473"/>
      <c r="AX3" s="473"/>
      <c r="AY3" s="473"/>
      <c r="AZ3" s="473"/>
      <c r="BA3" s="473"/>
      <c r="BB3" s="473"/>
      <c r="BC3" s="473"/>
      <c r="BD3" s="473"/>
      <c r="BE3" s="473"/>
      <c r="BF3" s="473"/>
      <c r="BG3" s="473"/>
      <c r="BH3" s="473"/>
      <c r="BI3" s="473"/>
      <c r="BJ3" s="473"/>
      <c r="BK3" s="473"/>
      <c r="BL3" s="473"/>
      <c r="BM3" s="473"/>
      <c r="BN3" s="473"/>
      <c r="BO3" s="473"/>
      <c r="BP3" s="473"/>
      <c r="BQ3" s="473"/>
      <c r="BR3" s="473"/>
      <c r="BS3" s="473"/>
      <c r="BT3" s="473"/>
      <c r="BU3" s="473"/>
      <c r="BV3" s="473"/>
      <c r="BW3" s="473"/>
      <c r="BX3" s="473"/>
      <c r="BY3" s="473"/>
      <c r="BZ3" s="473"/>
      <c r="CA3" s="473"/>
      <c r="CB3" s="473"/>
      <c r="CC3" s="473"/>
      <c r="CD3" s="473"/>
      <c r="CE3" s="473"/>
      <c r="CF3" s="473"/>
      <c r="CG3" s="473"/>
      <c r="CH3" s="473"/>
      <c r="CI3" s="473"/>
      <c r="CJ3" s="473"/>
      <c r="CK3" s="473"/>
      <c r="CL3" s="473"/>
      <c r="CM3" s="473"/>
      <c r="CN3" s="473"/>
      <c r="CO3" s="473"/>
      <c r="CP3" s="473"/>
      <c r="CQ3" s="473"/>
      <c r="CR3" s="473"/>
      <c r="CS3" s="473"/>
      <c r="CT3" s="473"/>
      <c r="CU3" s="473"/>
      <c r="CV3" s="473"/>
      <c r="CW3" s="473"/>
      <c r="CX3" s="473"/>
      <c r="CY3" s="473"/>
      <c r="CZ3" s="473"/>
      <c r="DA3" s="473"/>
      <c r="DB3" s="473"/>
      <c r="DC3" s="473"/>
      <c r="DD3" s="473"/>
      <c r="DE3" s="473"/>
      <c r="DF3" s="473"/>
      <c r="DG3" s="473"/>
      <c r="DH3" s="473"/>
      <c r="DI3" s="473"/>
      <c r="DJ3" s="473"/>
      <c r="DK3" s="473"/>
      <c r="DL3" s="473"/>
      <c r="DM3" s="473"/>
      <c r="DN3" s="473"/>
      <c r="DO3" s="473"/>
      <c r="DP3" s="473"/>
      <c r="DQ3" s="473"/>
      <c r="DR3" s="473"/>
      <c r="DS3" s="473"/>
      <c r="DT3" s="473"/>
      <c r="DU3" s="473"/>
      <c r="DV3" s="473"/>
      <c r="DW3" s="473"/>
      <c r="DX3" s="473"/>
      <c r="DY3" s="473"/>
      <c r="DZ3" s="473"/>
      <c r="EA3" s="473"/>
      <c r="EB3" s="473"/>
      <c r="EC3" s="473"/>
      <c r="ED3" s="473"/>
      <c r="EE3" s="473"/>
      <c r="EF3" s="473"/>
      <c r="EG3" s="473"/>
      <c r="EH3" s="473"/>
      <c r="EI3" s="473"/>
      <c r="EJ3" s="473"/>
      <c r="EK3" s="473"/>
      <c r="EL3" s="473"/>
      <c r="EM3" s="473"/>
      <c r="EN3" s="473"/>
      <c r="EO3" s="473"/>
      <c r="EP3" s="473"/>
      <c r="EQ3" s="473"/>
      <c r="ER3" s="473"/>
      <c r="ES3" s="473"/>
      <c r="ET3" s="473"/>
      <c r="EU3" s="473"/>
      <c r="EV3" s="473"/>
      <c r="EW3" s="473"/>
      <c r="EX3" s="473"/>
      <c r="EY3" s="473"/>
      <c r="EZ3" s="473"/>
      <c r="FA3" s="473"/>
      <c r="FB3" s="473"/>
      <c r="FC3" s="473"/>
      <c r="FD3" s="473"/>
      <c r="FE3" s="473"/>
      <c r="FF3" s="473"/>
      <c r="FG3" s="473"/>
      <c r="FH3" s="473"/>
      <c r="FI3" s="473"/>
      <c r="FJ3" s="473"/>
      <c r="FK3" s="473"/>
      <c r="FL3" s="473"/>
      <c r="FM3" s="473"/>
      <c r="FN3" s="473"/>
      <c r="FO3" s="473"/>
      <c r="FP3" s="473"/>
      <c r="FQ3" s="473"/>
      <c r="FR3" s="473"/>
      <c r="FS3" s="473"/>
      <c r="FT3" s="473"/>
      <c r="FU3" s="473"/>
      <c r="FV3" s="473"/>
      <c r="FW3" s="473"/>
      <c r="FX3" s="473"/>
      <c r="FY3" s="473"/>
      <c r="FZ3" s="473"/>
      <c r="GA3" s="473"/>
      <c r="GB3" s="473"/>
      <c r="GC3" s="473"/>
      <c r="GD3" s="473"/>
      <c r="GE3" s="473"/>
      <c r="GF3" s="473"/>
      <c r="GG3" s="473"/>
      <c r="GH3" s="473"/>
      <c r="GI3" s="473"/>
      <c r="GJ3" s="473"/>
      <c r="GK3" s="473"/>
      <c r="GL3" s="473"/>
      <c r="GM3" s="473"/>
      <c r="GN3" s="473"/>
      <c r="GO3" s="473"/>
      <c r="GP3" s="473"/>
      <c r="GQ3" s="473"/>
      <c r="GR3" s="473"/>
      <c r="GS3" s="473"/>
      <c r="GT3" s="473"/>
      <c r="GU3" s="473"/>
      <c r="GV3" s="473"/>
      <c r="GW3" s="473"/>
      <c r="GX3" s="473"/>
      <c r="GY3" s="473"/>
      <c r="GZ3" s="473"/>
      <c r="HA3" s="473"/>
      <c r="HB3" s="473"/>
      <c r="HC3" s="473"/>
      <c r="HD3" s="473"/>
      <c r="HE3" s="473"/>
      <c r="HF3" s="473"/>
      <c r="HG3" s="473"/>
      <c r="HH3" s="473"/>
      <c r="HI3" s="473"/>
      <c r="HJ3" s="473"/>
      <c r="HK3" s="473"/>
      <c r="HL3" s="473"/>
      <c r="HM3" s="473"/>
      <c r="HN3" s="473"/>
      <c r="HO3" s="473"/>
      <c r="HP3" s="473"/>
      <c r="HQ3" s="473"/>
      <c r="HR3" s="473"/>
      <c r="HS3" s="473"/>
      <c r="HT3" s="473"/>
      <c r="HU3" s="473"/>
      <c r="HV3" s="473"/>
      <c r="HW3" s="473"/>
      <c r="HX3" s="473"/>
      <c r="HY3" s="473"/>
      <c r="HZ3" s="473"/>
      <c r="IA3" s="473"/>
      <c r="IB3" s="473"/>
      <c r="IC3" s="473"/>
      <c r="ID3" s="473"/>
      <c r="IE3" s="473"/>
      <c r="IF3" s="473"/>
      <c r="IG3" s="473"/>
      <c r="IH3" s="473"/>
      <c r="II3" s="473"/>
      <c r="IJ3" s="473"/>
      <c r="IK3" s="473"/>
      <c r="IL3" s="473"/>
      <c r="IM3" s="473"/>
      <c r="IN3" s="473"/>
      <c r="IO3" s="473"/>
      <c r="IP3" s="473"/>
      <c r="IQ3" s="473"/>
      <c r="IR3" s="473"/>
      <c r="IS3" s="473"/>
      <c r="IT3" s="473"/>
      <c r="IU3" s="473"/>
      <c r="IV3" s="473"/>
    </row>
    <row r="4" spans="1:256" ht="23.25" customHeight="1">
      <c r="A4" s="474" t="s">
        <v>994</v>
      </c>
      <c r="O4" s="470"/>
      <c r="P4" s="470"/>
      <c r="Q4" s="470"/>
      <c r="R4" s="470"/>
      <c r="S4" s="470"/>
      <c r="T4" s="470"/>
      <c r="U4" s="470"/>
      <c r="V4" s="470"/>
      <c r="W4" s="470"/>
      <c r="X4" s="470"/>
      <c r="Y4" s="470"/>
      <c r="Z4" s="470"/>
      <c r="AA4" s="470"/>
      <c r="AB4" s="470"/>
      <c r="AC4" s="470"/>
      <c r="AD4" s="470"/>
      <c r="AE4" s="470"/>
      <c r="AF4" s="470"/>
      <c r="AG4" s="470"/>
      <c r="AH4" s="470"/>
      <c r="AI4" s="470"/>
      <c r="AJ4" s="470"/>
      <c r="AK4" s="470"/>
      <c r="AL4" s="470"/>
      <c r="AM4" s="470"/>
      <c r="AN4" s="470"/>
      <c r="AO4" s="470"/>
      <c r="AP4" s="470"/>
      <c r="AQ4" s="470"/>
      <c r="AR4" s="470"/>
      <c r="AS4" s="470"/>
      <c r="AT4" s="470"/>
      <c r="AU4" s="470"/>
      <c r="AV4" s="470"/>
      <c r="AW4" s="470"/>
      <c r="AX4" s="470"/>
      <c r="AY4" s="470"/>
      <c r="AZ4" s="470"/>
      <c r="BA4" s="470"/>
      <c r="BB4" s="470"/>
      <c r="BC4" s="470"/>
      <c r="BD4" s="470"/>
      <c r="BE4" s="470"/>
      <c r="BF4" s="470"/>
      <c r="BG4" s="470"/>
      <c r="BH4" s="470"/>
      <c r="BI4" s="470"/>
      <c r="BJ4" s="470"/>
      <c r="BK4" s="470"/>
      <c r="BL4" s="470"/>
      <c r="BM4" s="470"/>
      <c r="BN4" s="470"/>
      <c r="BO4" s="470"/>
      <c r="BP4" s="470"/>
      <c r="BQ4" s="470"/>
      <c r="BR4" s="470"/>
      <c r="BS4" s="470"/>
      <c r="BT4" s="470"/>
      <c r="BU4" s="470"/>
      <c r="BV4" s="470"/>
      <c r="BW4" s="470"/>
      <c r="BX4" s="470"/>
      <c r="BY4" s="470"/>
      <c r="BZ4" s="470"/>
      <c r="CA4" s="470"/>
      <c r="CB4" s="470"/>
      <c r="CC4" s="470"/>
      <c r="CD4" s="470"/>
      <c r="CE4" s="470"/>
      <c r="CF4" s="470"/>
      <c r="CG4" s="470"/>
      <c r="CH4" s="470"/>
      <c r="CI4" s="470"/>
      <c r="CJ4" s="470"/>
      <c r="CK4" s="470"/>
      <c r="CL4" s="470"/>
      <c r="CM4" s="470"/>
      <c r="CN4" s="470"/>
      <c r="CO4" s="470"/>
      <c r="CP4" s="470"/>
      <c r="CQ4" s="470"/>
      <c r="CR4" s="470"/>
      <c r="CS4" s="470"/>
      <c r="CT4" s="470"/>
      <c r="CU4" s="470"/>
      <c r="CV4" s="470"/>
      <c r="CW4" s="470"/>
      <c r="CX4" s="470"/>
      <c r="CY4" s="470"/>
      <c r="CZ4" s="470"/>
      <c r="DA4" s="470"/>
      <c r="DB4" s="470"/>
      <c r="DC4" s="470"/>
      <c r="DD4" s="470"/>
      <c r="DE4" s="470"/>
      <c r="DF4" s="470"/>
      <c r="DG4" s="470"/>
      <c r="DH4" s="470"/>
      <c r="DI4" s="470"/>
      <c r="DJ4" s="470"/>
      <c r="DK4" s="470"/>
      <c r="DL4" s="470"/>
      <c r="DM4" s="470"/>
      <c r="DN4" s="470"/>
      <c r="DO4" s="470"/>
      <c r="DP4" s="470"/>
      <c r="DQ4" s="470"/>
      <c r="DR4" s="470"/>
      <c r="DS4" s="470"/>
      <c r="DT4" s="470"/>
      <c r="DU4" s="470"/>
      <c r="DV4" s="470"/>
      <c r="DW4" s="470"/>
      <c r="DX4" s="470"/>
      <c r="DY4" s="470"/>
      <c r="DZ4" s="470"/>
      <c r="EA4" s="470"/>
      <c r="EB4" s="470"/>
      <c r="EC4" s="470"/>
      <c r="ED4" s="470"/>
      <c r="EE4" s="470"/>
      <c r="EF4" s="470"/>
      <c r="EG4" s="470"/>
      <c r="EH4" s="470"/>
      <c r="EI4" s="470"/>
      <c r="EJ4" s="470"/>
      <c r="EK4" s="470"/>
      <c r="EL4" s="470"/>
      <c r="EM4" s="470"/>
      <c r="EN4" s="470"/>
      <c r="EO4" s="470"/>
      <c r="EP4" s="470"/>
      <c r="EQ4" s="470"/>
      <c r="ER4" s="470"/>
      <c r="ES4" s="470"/>
      <c r="ET4" s="470"/>
      <c r="EU4" s="470"/>
      <c r="EV4" s="470"/>
      <c r="EW4" s="470"/>
      <c r="EX4" s="470"/>
      <c r="EY4" s="470"/>
      <c r="EZ4" s="470"/>
      <c r="FA4" s="470"/>
      <c r="FB4" s="470"/>
      <c r="FC4" s="470"/>
      <c r="FD4" s="470"/>
      <c r="FE4" s="470"/>
      <c r="FF4" s="470"/>
      <c r="FG4" s="470"/>
      <c r="FH4" s="470"/>
      <c r="FI4" s="470"/>
      <c r="FJ4" s="470"/>
      <c r="FK4" s="470"/>
      <c r="FL4" s="470"/>
      <c r="FM4" s="470"/>
      <c r="FN4" s="470"/>
      <c r="FO4" s="470"/>
      <c r="FP4" s="470"/>
      <c r="FQ4" s="470"/>
      <c r="FR4" s="470"/>
      <c r="FS4" s="470"/>
      <c r="FT4" s="470"/>
      <c r="FU4" s="470"/>
      <c r="FV4" s="470"/>
      <c r="FW4" s="470"/>
      <c r="FX4" s="470"/>
      <c r="FY4" s="470"/>
      <c r="FZ4" s="470"/>
      <c r="GA4" s="470"/>
      <c r="GB4" s="470"/>
      <c r="GC4" s="470"/>
      <c r="GD4" s="470"/>
      <c r="GE4" s="470"/>
      <c r="GF4" s="470"/>
      <c r="GG4" s="470"/>
      <c r="GH4" s="470"/>
      <c r="GI4" s="470"/>
      <c r="GJ4" s="470"/>
      <c r="GK4" s="470"/>
      <c r="GL4" s="470"/>
      <c r="GM4" s="470"/>
      <c r="GN4" s="470"/>
      <c r="GO4" s="470"/>
      <c r="GP4" s="470"/>
      <c r="GQ4" s="470"/>
      <c r="GR4" s="470"/>
      <c r="GS4" s="470"/>
      <c r="GT4" s="470"/>
      <c r="GU4" s="470"/>
      <c r="GV4" s="470"/>
      <c r="GW4" s="470"/>
      <c r="GX4" s="470"/>
      <c r="GY4" s="470"/>
      <c r="GZ4" s="470"/>
      <c r="HA4" s="470"/>
      <c r="HB4" s="470"/>
      <c r="HC4" s="470"/>
      <c r="HD4" s="470"/>
      <c r="HE4" s="470"/>
      <c r="HF4" s="470"/>
      <c r="HG4" s="470"/>
      <c r="HH4" s="470"/>
      <c r="HI4" s="470"/>
      <c r="HJ4" s="470"/>
      <c r="HK4" s="470"/>
      <c r="HL4" s="470"/>
      <c r="HM4" s="470"/>
      <c r="HN4" s="470"/>
      <c r="HO4" s="470"/>
      <c r="HP4" s="470"/>
      <c r="HQ4" s="470"/>
      <c r="HR4" s="470"/>
      <c r="HS4" s="470"/>
      <c r="HT4" s="470"/>
      <c r="HU4" s="470"/>
      <c r="HV4" s="470"/>
      <c r="HW4" s="470"/>
      <c r="HX4" s="470"/>
      <c r="HY4" s="470"/>
      <c r="HZ4" s="470"/>
      <c r="IA4" s="470"/>
      <c r="IB4" s="470"/>
      <c r="IC4" s="470"/>
      <c r="ID4" s="470"/>
      <c r="IE4" s="470"/>
      <c r="IF4" s="470"/>
      <c r="IG4" s="470"/>
      <c r="IH4" s="470"/>
      <c r="II4" s="470"/>
      <c r="IJ4" s="470"/>
      <c r="IK4" s="470"/>
      <c r="IL4" s="470"/>
      <c r="IM4" s="470"/>
      <c r="IN4" s="470"/>
      <c r="IO4" s="470"/>
      <c r="IP4" s="470"/>
      <c r="IQ4" s="470"/>
      <c r="IR4" s="470"/>
      <c r="IS4" s="470"/>
      <c r="IT4" s="470"/>
      <c r="IU4" s="470"/>
      <c r="IV4" s="470"/>
    </row>
    <row r="5" spans="1:256" ht="25.5" customHeight="1">
      <c r="A5" s="1478" t="s">
        <v>726</v>
      </c>
      <c r="B5" s="1480" t="s">
        <v>995</v>
      </c>
      <c r="C5" s="1481"/>
      <c r="D5" s="1481"/>
      <c r="E5" s="1481"/>
      <c r="F5" s="1481"/>
      <c r="G5" s="1481"/>
      <c r="H5" s="1476" t="s">
        <v>121</v>
      </c>
      <c r="I5" s="1476" t="s">
        <v>727</v>
      </c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470"/>
      <c r="AL5" s="470"/>
      <c r="AM5" s="470"/>
      <c r="AN5" s="470"/>
      <c r="AO5" s="470"/>
      <c r="AP5" s="470"/>
      <c r="AQ5" s="470"/>
      <c r="AR5" s="470"/>
      <c r="AS5" s="470"/>
      <c r="AT5" s="470"/>
      <c r="AU5" s="470"/>
      <c r="AV5" s="470"/>
      <c r="AW5" s="470"/>
      <c r="AX5" s="470"/>
      <c r="AY5" s="470"/>
      <c r="AZ5" s="470"/>
      <c r="BA5" s="470"/>
      <c r="BB5" s="470"/>
      <c r="BC5" s="470"/>
      <c r="BD5" s="470"/>
      <c r="BE5" s="470"/>
      <c r="BF5" s="470"/>
      <c r="BG5" s="470"/>
      <c r="BH5" s="470"/>
      <c r="BI5" s="470"/>
      <c r="BJ5" s="470"/>
      <c r="BK5" s="470"/>
      <c r="BL5" s="470"/>
      <c r="BM5" s="470"/>
      <c r="BN5" s="470"/>
      <c r="BO5" s="470"/>
      <c r="BP5" s="470"/>
      <c r="BQ5" s="470"/>
      <c r="BR5" s="470"/>
      <c r="BS5" s="470"/>
      <c r="BT5" s="470"/>
      <c r="BU5" s="470"/>
      <c r="BV5" s="470"/>
      <c r="BW5" s="470"/>
      <c r="BX5" s="470"/>
      <c r="BY5" s="470"/>
      <c r="BZ5" s="470"/>
      <c r="CA5" s="470"/>
      <c r="CB5" s="470"/>
      <c r="CC5" s="470"/>
      <c r="CD5" s="470"/>
      <c r="CE5" s="470"/>
      <c r="CF5" s="470"/>
      <c r="CG5" s="470"/>
      <c r="CH5" s="470"/>
      <c r="CI5" s="470"/>
      <c r="CJ5" s="470"/>
      <c r="CK5" s="470"/>
      <c r="CL5" s="470"/>
      <c r="CM5" s="470"/>
      <c r="CN5" s="470"/>
      <c r="CO5" s="470"/>
      <c r="CP5" s="470"/>
      <c r="CQ5" s="470"/>
      <c r="CR5" s="470"/>
      <c r="CS5" s="470"/>
      <c r="CT5" s="470"/>
      <c r="CU5" s="470"/>
      <c r="CV5" s="470"/>
      <c r="CW5" s="470"/>
      <c r="CX5" s="470"/>
      <c r="CY5" s="470"/>
      <c r="CZ5" s="470"/>
      <c r="DA5" s="470"/>
      <c r="DB5" s="470"/>
      <c r="DC5" s="470"/>
      <c r="DD5" s="470"/>
      <c r="DE5" s="470"/>
      <c r="DF5" s="470"/>
      <c r="DG5" s="470"/>
      <c r="DH5" s="470"/>
      <c r="DI5" s="470"/>
      <c r="DJ5" s="470"/>
      <c r="DK5" s="470"/>
      <c r="DL5" s="470"/>
      <c r="DM5" s="470"/>
      <c r="DN5" s="470"/>
      <c r="DO5" s="470"/>
      <c r="DP5" s="470"/>
      <c r="DQ5" s="470"/>
      <c r="DR5" s="470"/>
      <c r="DS5" s="470"/>
      <c r="DT5" s="470"/>
      <c r="DU5" s="470"/>
      <c r="DV5" s="470"/>
      <c r="DW5" s="470"/>
      <c r="DX5" s="470"/>
      <c r="DY5" s="470"/>
      <c r="DZ5" s="470"/>
      <c r="EA5" s="470"/>
      <c r="EB5" s="470"/>
      <c r="EC5" s="470"/>
      <c r="ED5" s="470"/>
      <c r="EE5" s="470"/>
      <c r="EF5" s="470"/>
      <c r="EG5" s="470"/>
      <c r="EH5" s="470"/>
      <c r="EI5" s="470"/>
      <c r="EJ5" s="470"/>
      <c r="EK5" s="470"/>
      <c r="EL5" s="470"/>
      <c r="EM5" s="470"/>
      <c r="EN5" s="470"/>
      <c r="EO5" s="470"/>
      <c r="EP5" s="470"/>
      <c r="EQ5" s="470"/>
      <c r="ER5" s="470"/>
      <c r="ES5" s="470"/>
      <c r="ET5" s="470"/>
      <c r="EU5" s="470"/>
      <c r="EV5" s="470"/>
      <c r="EW5" s="470"/>
      <c r="EX5" s="470"/>
      <c r="EY5" s="470"/>
      <c r="EZ5" s="470"/>
      <c r="FA5" s="470"/>
      <c r="FB5" s="470"/>
      <c r="FC5" s="470"/>
      <c r="FD5" s="470"/>
      <c r="FE5" s="470"/>
      <c r="FF5" s="470"/>
      <c r="FG5" s="470"/>
      <c r="FH5" s="470"/>
      <c r="FI5" s="470"/>
      <c r="FJ5" s="470"/>
      <c r="FK5" s="470"/>
      <c r="FL5" s="470"/>
      <c r="FM5" s="470"/>
      <c r="FN5" s="470"/>
      <c r="FO5" s="470"/>
      <c r="FP5" s="470"/>
      <c r="FQ5" s="470"/>
      <c r="FR5" s="470"/>
      <c r="FS5" s="470"/>
      <c r="FT5" s="470"/>
      <c r="FU5" s="470"/>
      <c r="FV5" s="470"/>
      <c r="FW5" s="470"/>
      <c r="FX5" s="470"/>
      <c r="FY5" s="470"/>
      <c r="FZ5" s="470"/>
      <c r="GA5" s="470"/>
      <c r="GB5" s="470"/>
      <c r="GC5" s="470"/>
      <c r="GD5" s="470"/>
      <c r="GE5" s="470"/>
      <c r="GF5" s="470"/>
      <c r="GG5" s="470"/>
      <c r="GH5" s="470"/>
      <c r="GI5" s="470"/>
      <c r="GJ5" s="470"/>
      <c r="GK5" s="470"/>
      <c r="GL5" s="470"/>
      <c r="GM5" s="470"/>
      <c r="GN5" s="470"/>
      <c r="GO5" s="470"/>
      <c r="GP5" s="470"/>
      <c r="GQ5" s="470"/>
      <c r="GR5" s="470"/>
      <c r="GS5" s="470"/>
      <c r="GT5" s="470"/>
      <c r="GU5" s="470"/>
      <c r="GV5" s="470"/>
      <c r="GW5" s="470"/>
      <c r="GX5" s="470"/>
      <c r="GY5" s="470"/>
      <c r="GZ5" s="470"/>
      <c r="HA5" s="470"/>
      <c r="HB5" s="470"/>
      <c r="HC5" s="470"/>
      <c r="HD5" s="470"/>
      <c r="HE5" s="470"/>
      <c r="HF5" s="470"/>
      <c r="HG5" s="470"/>
      <c r="HH5" s="470"/>
      <c r="HI5" s="470"/>
      <c r="HJ5" s="470"/>
      <c r="HK5" s="470"/>
      <c r="HL5" s="470"/>
      <c r="HM5" s="470"/>
      <c r="HN5" s="470"/>
      <c r="HO5" s="470"/>
      <c r="HP5" s="470"/>
      <c r="HQ5" s="470"/>
      <c r="HR5" s="470"/>
      <c r="HS5" s="470"/>
      <c r="HT5" s="470"/>
      <c r="HU5" s="470"/>
      <c r="HV5" s="470"/>
      <c r="HW5" s="470"/>
      <c r="HX5" s="470"/>
      <c r="HY5" s="470"/>
      <c r="HZ5" s="470"/>
      <c r="IA5" s="470"/>
      <c r="IB5" s="470"/>
      <c r="IC5" s="470"/>
      <c r="ID5" s="470"/>
      <c r="IE5" s="470"/>
      <c r="IF5" s="470"/>
      <c r="IG5" s="470"/>
      <c r="IH5" s="470"/>
      <c r="II5" s="470"/>
      <c r="IJ5" s="470"/>
      <c r="IK5" s="470"/>
      <c r="IL5" s="470"/>
      <c r="IM5" s="470"/>
      <c r="IN5" s="470"/>
      <c r="IO5" s="470"/>
      <c r="IP5" s="470"/>
      <c r="IQ5" s="470"/>
      <c r="IR5" s="470"/>
      <c r="IS5" s="470"/>
      <c r="IT5" s="470"/>
      <c r="IU5" s="470"/>
      <c r="IV5" s="470"/>
    </row>
    <row r="6" spans="1:256" ht="25.5" customHeight="1">
      <c r="A6" s="1479"/>
      <c r="B6" s="475" t="s">
        <v>333</v>
      </c>
      <c r="C6" s="475" t="s">
        <v>271</v>
      </c>
      <c r="D6" s="475" t="s">
        <v>122</v>
      </c>
      <c r="E6" s="475" t="s">
        <v>123</v>
      </c>
      <c r="F6" s="475" t="s">
        <v>124</v>
      </c>
      <c r="G6" s="475" t="s">
        <v>125</v>
      </c>
      <c r="H6" s="1477"/>
      <c r="I6" s="1477"/>
      <c r="O6" s="470"/>
      <c r="P6" s="470"/>
      <c r="Q6" s="470"/>
      <c r="R6" s="470"/>
      <c r="S6" s="470"/>
      <c r="T6" s="470"/>
      <c r="U6" s="470"/>
      <c r="V6" s="470"/>
      <c r="W6" s="470"/>
      <c r="X6" s="470"/>
      <c r="Y6" s="470"/>
      <c r="Z6" s="470"/>
      <c r="AA6" s="470"/>
      <c r="AB6" s="470"/>
      <c r="AC6" s="470"/>
      <c r="AD6" s="470"/>
      <c r="AE6" s="470"/>
      <c r="AF6" s="470"/>
      <c r="AG6" s="470"/>
      <c r="AH6" s="470"/>
      <c r="AI6" s="470"/>
      <c r="AJ6" s="470"/>
      <c r="AK6" s="470"/>
      <c r="AL6" s="470"/>
      <c r="AM6" s="470"/>
      <c r="AN6" s="470"/>
      <c r="AO6" s="470"/>
      <c r="AP6" s="470"/>
      <c r="AQ6" s="470"/>
      <c r="AR6" s="470"/>
      <c r="AS6" s="470"/>
      <c r="AT6" s="470"/>
      <c r="AU6" s="470"/>
      <c r="AV6" s="470"/>
      <c r="AW6" s="470"/>
      <c r="AX6" s="470"/>
      <c r="AY6" s="470"/>
      <c r="AZ6" s="470"/>
      <c r="BA6" s="470"/>
      <c r="BB6" s="470"/>
      <c r="BC6" s="470"/>
      <c r="BD6" s="470"/>
      <c r="BE6" s="470"/>
      <c r="BF6" s="470"/>
      <c r="BG6" s="470"/>
      <c r="BH6" s="470"/>
      <c r="BI6" s="470"/>
      <c r="BJ6" s="470"/>
      <c r="BK6" s="470"/>
      <c r="BL6" s="470"/>
      <c r="BM6" s="470"/>
      <c r="BN6" s="470"/>
      <c r="BO6" s="470"/>
      <c r="BP6" s="470"/>
      <c r="BQ6" s="470"/>
      <c r="BR6" s="470"/>
      <c r="BS6" s="470"/>
      <c r="BT6" s="470"/>
      <c r="BU6" s="470"/>
      <c r="BV6" s="470"/>
      <c r="BW6" s="470"/>
      <c r="BX6" s="470"/>
      <c r="BY6" s="470"/>
      <c r="BZ6" s="470"/>
      <c r="CA6" s="470"/>
      <c r="CB6" s="470"/>
      <c r="CC6" s="470"/>
      <c r="CD6" s="470"/>
      <c r="CE6" s="470"/>
      <c r="CF6" s="470"/>
      <c r="CG6" s="470"/>
      <c r="CH6" s="470"/>
      <c r="CI6" s="470"/>
      <c r="CJ6" s="470"/>
      <c r="CK6" s="470"/>
      <c r="CL6" s="470"/>
      <c r="CM6" s="470"/>
      <c r="CN6" s="470"/>
      <c r="CO6" s="470"/>
      <c r="CP6" s="470"/>
      <c r="CQ6" s="470"/>
      <c r="CR6" s="470"/>
      <c r="CS6" s="470"/>
      <c r="CT6" s="470"/>
      <c r="CU6" s="470"/>
      <c r="CV6" s="470"/>
      <c r="CW6" s="470"/>
      <c r="CX6" s="470"/>
      <c r="CY6" s="470"/>
      <c r="CZ6" s="470"/>
      <c r="DA6" s="470"/>
      <c r="DB6" s="470"/>
      <c r="DC6" s="470"/>
      <c r="DD6" s="470"/>
      <c r="DE6" s="470"/>
      <c r="DF6" s="470"/>
      <c r="DG6" s="470"/>
      <c r="DH6" s="470"/>
      <c r="DI6" s="470"/>
      <c r="DJ6" s="470"/>
      <c r="DK6" s="470"/>
      <c r="DL6" s="470"/>
      <c r="DM6" s="470"/>
      <c r="DN6" s="470"/>
      <c r="DO6" s="470"/>
      <c r="DP6" s="470"/>
      <c r="DQ6" s="470"/>
      <c r="DR6" s="470"/>
      <c r="DS6" s="470"/>
      <c r="DT6" s="470"/>
      <c r="DU6" s="470"/>
      <c r="DV6" s="470"/>
      <c r="DW6" s="470"/>
      <c r="DX6" s="470"/>
      <c r="DY6" s="470"/>
      <c r="DZ6" s="470"/>
      <c r="EA6" s="470"/>
      <c r="EB6" s="470"/>
      <c r="EC6" s="470"/>
      <c r="ED6" s="470"/>
      <c r="EE6" s="470"/>
      <c r="EF6" s="470"/>
      <c r="EG6" s="470"/>
      <c r="EH6" s="470"/>
      <c r="EI6" s="470"/>
      <c r="EJ6" s="470"/>
      <c r="EK6" s="470"/>
      <c r="EL6" s="470"/>
      <c r="EM6" s="470"/>
      <c r="EN6" s="470"/>
      <c r="EO6" s="470"/>
      <c r="EP6" s="470"/>
      <c r="EQ6" s="470"/>
      <c r="ER6" s="470"/>
      <c r="ES6" s="470"/>
      <c r="ET6" s="470"/>
      <c r="EU6" s="470"/>
      <c r="EV6" s="470"/>
      <c r="EW6" s="470"/>
      <c r="EX6" s="470"/>
      <c r="EY6" s="470"/>
      <c r="EZ6" s="470"/>
      <c r="FA6" s="470"/>
      <c r="FB6" s="470"/>
      <c r="FC6" s="470"/>
      <c r="FD6" s="470"/>
      <c r="FE6" s="470"/>
      <c r="FF6" s="470"/>
      <c r="FG6" s="470"/>
      <c r="FH6" s="470"/>
      <c r="FI6" s="470"/>
      <c r="FJ6" s="470"/>
      <c r="FK6" s="470"/>
      <c r="FL6" s="470"/>
      <c r="FM6" s="470"/>
      <c r="FN6" s="470"/>
      <c r="FO6" s="470"/>
      <c r="FP6" s="470"/>
      <c r="FQ6" s="470"/>
      <c r="FR6" s="470"/>
      <c r="FS6" s="470"/>
      <c r="FT6" s="470"/>
      <c r="FU6" s="470"/>
      <c r="FV6" s="470"/>
      <c r="FW6" s="470"/>
      <c r="FX6" s="470"/>
      <c r="FY6" s="470"/>
      <c r="FZ6" s="470"/>
      <c r="GA6" s="470"/>
      <c r="GB6" s="470"/>
      <c r="GC6" s="470"/>
      <c r="GD6" s="470"/>
      <c r="GE6" s="470"/>
      <c r="GF6" s="470"/>
      <c r="GG6" s="470"/>
      <c r="GH6" s="470"/>
      <c r="GI6" s="470"/>
      <c r="GJ6" s="470"/>
      <c r="GK6" s="470"/>
      <c r="GL6" s="470"/>
      <c r="GM6" s="470"/>
      <c r="GN6" s="470"/>
      <c r="GO6" s="470"/>
      <c r="GP6" s="470"/>
      <c r="GQ6" s="470"/>
      <c r="GR6" s="470"/>
      <c r="GS6" s="470"/>
      <c r="GT6" s="470"/>
      <c r="GU6" s="470"/>
      <c r="GV6" s="470"/>
      <c r="GW6" s="470"/>
      <c r="GX6" s="470"/>
      <c r="GY6" s="470"/>
      <c r="GZ6" s="470"/>
      <c r="HA6" s="470"/>
      <c r="HB6" s="470"/>
      <c r="HC6" s="470"/>
      <c r="HD6" s="470"/>
      <c r="HE6" s="470"/>
      <c r="HF6" s="470"/>
      <c r="HG6" s="470"/>
      <c r="HH6" s="470"/>
      <c r="HI6" s="470"/>
      <c r="HJ6" s="470"/>
      <c r="HK6" s="470"/>
      <c r="HL6" s="470"/>
      <c r="HM6" s="470"/>
      <c r="HN6" s="470"/>
      <c r="HO6" s="470"/>
      <c r="HP6" s="470"/>
      <c r="HQ6" s="470"/>
      <c r="HR6" s="470"/>
      <c r="HS6" s="470"/>
      <c r="HT6" s="470"/>
      <c r="HU6" s="470"/>
      <c r="HV6" s="470"/>
      <c r="HW6" s="470"/>
      <c r="HX6" s="470"/>
      <c r="HY6" s="470"/>
      <c r="HZ6" s="470"/>
      <c r="IA6" s="470"/>
      <c r="IB6" s="470"/>
      <c r="IC6" s="470"/>
      <c r="ID6" s="470"/>
      <c r="IE6" s="470"/>
      <c r="IF6" s="470"/>
      <c r="IG6" s="470"/>
      <c r="IH6" s="470"/>
      <c r="II6" s="470"/>
      <c r="IJ6" s="470"/>
      <c r="IK6" s="470"/>
      <c r="IL6" s="470"/>
      <c r="IM6" s="470"/>
      <c r="IN6" s="470"/>
      <c r="IO6" s="470"/>
      <c r="IP6" s="470"/>
      <c r="IQ6" s="470"/>
      <c r="IR6" s="470"/>
      <c r="IS6" s="470"/>
      <c r="IT6" s="470"/>
      <c r="IU6" s="470"/>
      <c r="IV6" s="470"/>
    </row>
    <row r="7" spans="1:256" ht="25.5" customHeight="1">
      <c r="A7" s="476" t="s">
        <v>728</v>
      </c>
      <c r="B7" s="477">
        <f>31-B8-B9-B10</f>
        <v>21</v>
      </c>
      <c r="C7" s="477">
        <f>28-C8-C9-C10</f>
        <v>20</v>
      </c>
      <c r="D7" s="477">
        <f>31-D8-D9-D10</f>
        <v>22</v>
      </c>
      <c r="E7" s="477">
        <f>30-E8-E9-E10</f>
        <v>20</v>
      </c>
      <c r="F7" s="477">
        <f>31-F8-F9-F10</f>
        <v>20</v>
      </c>
      <c r="G7" s="477">
        <f>30-G8-G9-G10</f>
        <v>21</v>
      </c>
      <c r="H7" s="478">
        <f t="shared" ref="H7:H12" si="0">SUM(B7:G7)</f>
        <v>124</v>
      </c>
      <c r="I7" s="478"/>
      <c r="J7" s="479"/>
      <c r="O7" s="470"/>
      <c r="P7" s="470"/>
      <c r="Q7" s="470"/>
      <c r="R7" s="470"/>
      <c r="S7" s="470"/>
      <c r="T7" s="470"/>
      <c r="U7" s="470"/>
      <c r="V7" s="470"/>
      <c r="W7" s="470"/>
      <c r="X7" s="470"/>
      <c r="Y7" s="470"/>
      <c r="Z7" s="470"/>
      <c r="AA7" s="470"/>
      <c r="AB7" s="470"/>
      <c r="AC7" s="470"/>
      <c r="AD7" s="470"/>
      <c r="AE7" s="470"/>
      <c r="AF7" s="470"/>
      <c r="AG7" s="470"/>
      <c r="AH7" s="470"/>
      <c r="AI7" s="470"/>
      <c r="AJ7" s="470"/>
      <c r="AK7" s="470"/>
      <c r="AL7" s="470"/>
      <c r="AM7" s="470"/>
      <c r="AN7" s="470"/>
      <c r="AO7" s="470"/>
      <c r="AP7" s="470"/>
      <c r="AQ7" s="470"/>
      <c r="AR7" s="470"/>
      <c r="AS7" s="470"/>
      <c r="AT7" s="470"/>
      <c r="AU7" s="470"/>
      <c r="AV7" s="470"/>
      <c r="AW7" s="470"/>
      <c r="AX7" s="470"/>
      <c r="AY7" s="470"/>
      <c r="AZ7" s="470"/>
      <c r="BA7" s="470"/>
      <c r="BB7" s="470"/>
      <c r="BC7" s="470"/>
      <c r="BD7" s="470"/>
      <c r="BE7" s="470"/>
      <c r="BF7" s="470"/>
      <c r="BG7" s="470"/>
      <c r="BH7" s="470"/>
      <c r="BI7" s="470"/>
      <c r="BJ7" s="470"/>
      <c r="BK7" s="470"/>
      <c r="BL7" s="470"/>
      <c r="BM7" s="470"/>
      <c r="BN7" s="470"/>
      <c r="BO7" s="470"/>
      <c r="BP7" s="470"/>
      <c r="BQ7" s="470"/>
      <c r="BR7" s="470"/>
      <c r="BS7" s="470"/>
      <c r="BT7" s="470"/>
      <c r="BU7" s="470"/>
      <c r="BV7" s="470"/>
      <c r="BW7" s="470"/>
      <c r="BX7" s="470"/>
      <c r="BY7" s="470"/>
      <c r="BZ7" s="470"/>
      <c r="CA7" s="470"/>
      <c r="CB7" s="470"/>
      <c r="CC7" s="470"/>
      <c r="CD7" s="470"/>
      <c r="CE7" s="470"/>
      <c r="CF7" s="470"/>
      <c r="CG7" s="470"/>
      <c r="CH7" s="470"/>
      <c r="CI7" s="470"/>
      <c r="CJ7" s="470"/>
      <c r="CK7" s="470"/>
      <c r="CL7" s="470"/>
      <c r="CM7" s="470"/>
      <c r="CN7" s="470"/>
      <c r="CO7" s="470"/>
      <c r="CP7" s="470"/>
      <c r="CQ7" s="470"/>
      <c r="CR7" s="470"/>
      <c r="CS7" s="470"/>
      <c r="CT7" s="470"/>
      <c r="CU7" s="470"/>
      <c r="CV7" s="470"/>
      <c r="CW7" s="470"/>
      <c r="CX7" s="470"/>
      <c r="CY7" s="470"/>
      <c r="CZ7" s="470"/>
      <c r="DA7" s="470"/>
      <c r="DB7" s="470"/>
      <c r="DC7" s="470"/>
      <c r="DD7" s="470"/>
      <c r="DE7" s="470"/>
      <c r="DF7" s="470"/>
      <c r="DG7" s="470"/>
      <c r="DH7" s="470"/>
      <c r="DI7" s="470"/>
      <c r="DJ7" s="470"/>
      <c r="DK7" s="470"/>
      <c r="DL7" s="470"/>
      <c r="DM7" s="470"/>
      <c r="DN7" s="470"/>
      <c r="DO7" s="470"/>
      <c r="DP7" s="470"/>
      <c r="DQ7" s="470"/>
      <c r="DR7" s="470"/>
      <c r="DS7" s="470"/>
      <c r="DT7" s="470"/>
      <c r="DU7" s="470"/>
      <c r="DV7" s="470"/>
      <c r="DW7" s="470"/>
      <c r="DX7" s="470"/>
      <c r="DY7" s="470"/>
      <c r="DZ7" s="470"/>
      <c r="EA7" s="470"/>
      <c r="EB7" s="470"/>
      <c r="EC7" s="470"/>
      <c r="ED7" s="470"/>
      <c r="EE7" s="470"/>
      <c r="EF7" s="470"/>
      <c r="EG7" s="470"/>
      <c r="EH7" s="470"/>
      <c r="EI7" s="470"/>
      <c r="EJ7" s="470"/>
      <c r="EK7" s="470"/>
      <c r="EL7" s="470"/>
      <c r="EM7" s="470"/>
      <c r="EN7" s="470"/>
      <c r="EO7" s="470"/>
      <c r="EP7" s="470"/>
      <c r="EQ7" s="470"/>
      <c r="ER7" s="470"/>
      <c r="ES7" s="470"/>
      <c r="ET7" s="470"/>
      <c r="EU7" s="470"/>
      <c r="EV7" s="470"/>
      <c r="EW7" s="470"/>
      <c r="EX7" s="470"/>
      <c r="EY7" s="470"/>
      <c r="EZ7" s="470"/>
      <c r="FA7" s="470"/>
      <c r="FB7" s="470"/>
      <c r="FC7" s="470"/>
      <c r="FD7" s="470"/>
      <c r="FE7" s="470"/>
      <c r="FF7" s="470"/>
      <c r="FG7" s="470"/>
      <c r="FH7" s="470"/>
      <c r="FI7" s="470"/>
      <c r="FJ7" s="470"/>
      <c r="FK7" s="470"/>
      <c r="FL7" s="470"/>
      <c r="FM7" s="470"/>
      <c r="FN7" s="470"/>
      <c r="FO7" s="470"/>
      <c r="FP7" s="470"/>
      <c r="FQ7" s="470"/>
      <c r="FR7" s="470"/>
      <c r="FS7" s="470"/>
      <c r="FT7" s="470"/>
      <c r="FU7" s="470"/>
      <c r="FV7" s="470"/>
      <c r="FW7" s="470"/>
      <c r="FX7" s="470"/>
      <c r="FY7" s="470"/>
      <c r="FZ7" s="470"/>
      <c r="GA7" s="470"/>
      <c r="GB7" s="470"/>
      <c r="GC7" s="470"/>
      <c r="GD7" s="470"/>
      <c r="GE7" s="470"/>
      <c r="GF7" s="470"/>
      <c r="GG7" s="470"/>
      <c r="GH7" s="470"/>
      <c r="GI7" s="470"/>
      <c r="GJ7" s="470"/>
      <c r="GK7" s="470"/>
      <c r="GL7" s="470"/>
      <c r="GM7" s="470"/>
      <c r="GN7" s="470"/>
      <c r="GO7" s="470"/>
      <c r="GP7" s="470"/>
      <c r="GQ7" s="470"/>
      <c r="GR7" s="470"/>
      <c r="GS7" s="470"/>
      <c r="GT7" s="470"/>
      <c r="GU7" s="470"/>
      <c r="GV7" s="470"/>
      <c r="GW7" s="470"/>
      <c r="GX7" s="470"/>
      <c r="GY7" s="470"/>
      <c r="GZ7" s="470"/>
      <c r="HA7" s="470"/>
      <c r="HB7" s="470"/>
      <c r="HC7" s="470"/>
      <c r="HD7" s="470"/>
      <c r="HE7" s="470"/>
      <c r="HF7" s="470"/>
      <c r="HG7" s="470"/>
      <c r="HH7" s="470"/>
      <c r="HI7" s="470"/>
      <c r="HJ7" s="470"/>
      <c r="HK7" s="470"/>
      <c r="HL7" s="470"/>
      <c r="HM7" s="470"/>
      <c r="HN7" s="470"/>
      <c r="HO7" s="470"/>
      <c r="HP7" s="470"/>
      <c r="HQ7" s="470"/>
      <c r="HR7" s="470"/>
      <c r="HS7" s="470"/>
      <c r="HT7" s="470"/>
      <c r="HU7" s="470"/>
      <c r="HV7" s="470"/>
      <c r="HW7" s="470"/>
      <c r="HX7" s="470"/>
      <c r="HY7" s="470"/>
      <c r="HZ7" s="470"/>
      <c r="IA7" s="470"/>
      <c r="IB7" s="470"/>
      <c r="IC7" s="470"/>
      <c r="ID7" s="470"/>
      <c r="IE7" s="470"/>
      <c r="IF7" s="470"/>
      <c r="IG7" s="470"/>
      <c r="IH7" s="470"/>
      <c r="II7" s="470"/>
      <c r="IJ7" s="470"/>
      <c r="IK7" s="470"/>
      <c r="IL7" s="470"/>
      <c r="IM7" s="470"/>
      <c r="IN7" s="470"/>
      <c r="IO7" s="470"/>
      <c r="IP7" s="470"/>
      <c r="IQ7" s="470"/>
      <c r="IR7" s="470"/>
      <c r="IS7" s="470"/>
      <c r="IT7" s="470"/>
      <c r="IU7" s="470"/>
      <c r="IV7" s="470"/>
    </row>
    <row r="8" spans="1:256" ht="25.5" customHeight="1">
      <c r="A8" s="480" t="s">
        <v>729</v>
      </c>
      <c r="B8" s="477">
        <v>4</v>
      </c>
      <c r="C8" s="477">
        <v>4</v>
      </c>
      <c r="D8" s="477">
        <v>4</v>
      </c>
      <c r="E8" s="477">
        <v>5</v>
      </c>
      <c r="F8" s="477">
        <v>4</v>
      </c>
      <c r="G8" s="477">
        <v>4</v>
      </c>
      <c r="H8" s="478">
        <f t="shared" si="0"/>
        <v>25</v>
      </c>
      <c r="I8" s="478"/>
      <c r="J8" s="481"/>
      <c r="K8" s="474"/>
      <c r="L8" s="474"/>
      <c r="M8" s="474"/>
      <c r="N8" s="474"/>
      <c r="O8" s="474"/>
      <c r="P8" s="474"/>
      <c r="Q8" s="474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  <c r="AL8" s="474"/>
      <c r="AM8" s="474"/>
      <c r="AN8" s="474"/>
      <c r="AO8" s="474"/>
      <c r="AP8" s="474"/>
      <c r="AQ8" s="474"/>
      <c r="AR8" s="474"/>
      <c r="AS8" s="474"/>
      <c r="AT8" s="474"/>
      <c r="AU8" s="474"/>
      <c r="AV8" s="474"/>
      <c r="AW8" s="474"/>
      <c r="AX8" s="474"/>
      <c r="AY8" s="474"/>
      <c r="AZ8" s="474"/>
      <c r="BA8" s="474"/>
      <c r="BB8" s="474"/>
      <c r="BC8" s="474"/>
      <c r="BD8" s="474"/>
      <c r="BE8" s="474"/>
      <c r="BF8" s="474"/>
      <c r="BG8" s="474"/>
      <c r="BH8" s="474"/>
      <c r="BI8" s="474"/>
      <c r="BJ8" s="474"/>
      <c r="BK8" s="474"/>
      <c r="BL8" s="474"/>
      <c r="BM8" s="474"/>
      <c r="BN8" s="474"/>
      <c r="BO8" s="474"/>
      <c r="BP8" s="474"/>
      <c r="BQ8" s="474"/>
      <c r="BR8" s="474"/>
      <c r="BS8" s="474"/>
      <c r="BT8" s="474"/>
      <c r="BU8" s="474"/>
      <c r="BV8" s="474"/>
      <c r="BW8" s="474"/>
      <c r="BX8" s="474"/>
      <c r="BY8" s="474"/>
      <c r="BZ8" s="474"/>
      <c r="CA8" s="474"/>
      <c r="CB8" s="474"/>
      <c r="CC8" s="474"/>
      <c r="CD8" s="474"/>
      <c r="CE8" s="474"/>
      <c r="CF8" s="474"/>
      <c r="CG8" s="474"/>
      <c r="CH8" s="474"/>
      <c r="CI8" s="474"/>
      <c r="CJ8" s="474"/>
      <c r="CK8" s="474"/>
      <c r="CL8" s="474"/>
      <c r="CM8" s="474"/>
      <c r="CN8" s="474"/>
      <c r="CO8" s="474"/>
      <c r="CP8" s="474"/>
      <c r="CQ8" s="474"/>
      <c r="CR8" s="474"/>
      <c r="CS8" s="474"/>
      <c r="CT8" s="474"/>
      <c r="CU8" s="474"/>
      <c r="CV8" s="474"/>
      <c r="CW8" s="474"/>
      <c r="CX8" s="474"/>
      <c r="CY8" s="474"/>
      <c r="CZ8" s="474"/>
      <c r="DA8" s="474"/>
      <c r="DB8" s="474"/>
      <c r="DC8" s="474"/>
      <c r="DD8" s="474"/>
      <c r="DE8" s="474"/>
      <c r="DF8" s="474"/>
      <c r="DG8" s="474"/>
      <c r="DH8" s="474"/>
      <c r="DI8" s="474"/>
      <c r="DJ8" s="474"/>
      <c r="DK8" s="474"/>
      <c r="DL8" s="474"/>
      <c r="DM8" s="474"/>
      <c r="DN8" s="474"/>
      <c r="DO8" s="474"/>
      <c r="DP8" s="474"/>
      <c r="DQ8" s="474"/>
      <c r="DR8" s="474"/>
      <c r="DS8" s="474"/>
      <c r="DT8" s="474"/>
      <c r="DU8" s="474"/>
      <c r="DV8" s="474"/>
      <c r="DW8" s="474"/>
      <c r="DX8" s="474"/>
      <c r="DY8" s="474"/>
      <c r="DZ8" s="474"/>
      <c r="EA8" s="474"/>
      <c r="EB8" s="474"/>
      <c r="EC8" s="474"/>
      <c r="ED8" s="474"/>
      <c r="EE8" s="474"/>
      <c r="EF8" s="474"/>
      <c r="EG8" s="474"/>
      <c r="EH8" s="474"/>
      <c r="EI8" s="474"/>
      <c r="EJ8" s="474"/>
      <c r="EK8" s="474"/>
      <c r="EL8" s="474"/>
      <c r="EM8" s="474"/>
      <c r="EN8" s="474"/>
      <c r="EO8" s="474"/>
      <c r="EP8" s="474"/>
      <c r="EQ8" s="474"/>
      <c r="ER8" s="474"/>
      <c r="ES8" s="474"/>
      <c r="ET8" s="474"/>
      <c r="EU8" s="474"/>
      <c r="EV8" s="474"/>
      <c r="EW8" s="474"/>
      <c r="EX8" s="474"/>
      <c r="EY8" s="474"/>
      <c r="EZ8" s="474"/>
      <c r="FA8" s="474"/>
      <c r="FB8" s="474"/>
      <c r="FC8" s="474"/>
      <c r="FD8" s="474"/>
      <c r="FE8" s="474"/>
      <c r="FF8" s="474"/>
      <c r="FG8" s="474"/>
      <c r="FH8" s="474"/>
      <c r="FI8" s="474"/>
      <c r="FJ8" s="474"/>
      <c r="FK8" s="474"/>
      <c r="FL8" s="474"/>
      <c r="FM8" s="474"/>
      <c r="FN8" s="474"/>
      <c r="FO8" s="474"/>
      <c r="FP8" s="474"/>
      <c r="FQ8" s="474"/>
      <c r="FR8" s="474"/>
      <c r="FS8" s="474"/>
      <c r="FT8" s="474"/>
      <c r="FU8" s="474"/>
      <c r="FV8" s="474"/>
      <c r="FW8" s="474"/>
      <c r="FX8" s="474"/>
      <c r="FY8" s="474"/>
      <c r="FZ8" s="474"/>
      <c r="GA8" s="474"/>
      <c r="GB8" s="474"/>
      <c r="GC8" s="474"/>
      <c r="GD8" s="474"/>
      <c r="GE8" s="474"/>
      <c r="GF8" s="474"/>
      <c r="GG8" s="474"/>
      <c r="GH8" s="474"/>
      <c r="GI8" s="474"/>
      <c r="GJ8" s="474"/>
      <c r="GK8" s="474"/>
      <c r="GL8" s="474"/>
      <c r="GM8" s="474"/>
      <c r="GN8" s="474"/>
      <c r="GO8" s="474"/>
      <c r="GP8" s="474"/>
      <c r="GQ8" s="474"/>
      <c r="GR8" s="474"/>
      <c r="GS8" s="474"/>
      <c r="GT8" s="474"/>
      <c r="GU8" s="474"/>
      <c r="GV8" s="474"/>
      <c r="GW8" s="474"/>
      <c r="GX8" s="474"/>
      <c r="GY8" s="474"/>
      <c r="GZ8" s="474"/>
      <c r="HA8" s="474"/>
      <c r="HB8" s="474"/>
      <c r="HC8" s="474"/>
      <c r="HD8" s="474"/>
      <c r="HE8" s="474"/>
      <c r="HF8" s="474"/>
      <c r="HG8" s="474"/>
      <c r="HH8" s="474"/>
      <c r="HI8" s="474"/>
      <c r="HJ8" s="474"/>
      <c r="HK8" s="474"/>
      <c r="HL8" s="474"/>
      <c r="HM8" s="474"/>
      <c r="HN8" s="474"/>
      <c r="HO8" s="474"/>
      <c r="HP8" s="474"/>
      <c r="HQ8" s="474"/>
      <c r="HR8" s="474"/>
      <c r="HS8" s="474"/>
      <c r="HT8" s="474"/>
      <c r="HU8" s="474"/>
      <c r="HV8" s="474"/>
      <c r="HW8" s="474"/>
      <c r="HX8" s="474"/>
      <c r="HY8" s="474"/>
      <c r="HZ8" s="474"/>
      <c r="IA8" s="474"/>
      <c r="IB8" s="474"/>
      <c r="IC8" s="474"/>
      <c r="ID8" s="474"/>
      <c r="IE8" s="474"/>
      <c r="IF8" s="474"/>
      <c r="IG8" s="474"/>
      <c r="IH8" s="474"/>
      <c r="II8" s="474"/>
      <c r="IJ8" s="474"/>
      <c r="IK8" s="474"/>
      <c r="IL8" s="474"/>
      <c r="IM8" s="474"/>
      <c r="IN8" s="474"/>
      <c r="IO8" s="474"/>
      <c r="IP8" s="474"/>
      <c r="IQ8" s="474"/>
      <c r="IR8" s="474"/>
      <c r="IS8" s="474"/>
      <c r="IT8" s="474"/>
      <c r="IU8" s="474"/>
      <c r="IV8" s="474"/>
    </row>
    <row r="9" spans="1:256" ht="25.5" customHeight="1">
      <c r="A9" s="482" t="s">
        <v>730</v>
      </c>
      <c r="B9" s="477">
        <v>5</v>
      </c>
      <c r="C9" s="477">
        <v>4</v>
      </c>
      <c r="D9" s="477">
        <v>4</v>
      </c>
      <c r="E9" s="477">
        <v>5</v>
      </c>
      <c r="F9" s="477">
        <v>4</v>
      </c>
      <c r="G9" s="477">
        <v>4</v>
      </c>
      <c r="H9" s="478">
        <f t="shared" si="0"/>
        <v>26</v>
      </c>
      <c r="I9" s="478"/>
      <c r="J9" s="483"/>
      <c r="O9" s="470"/>
      <c r="P9" s="470"/>
      <c r="Q9" s="470"/>
      <c r="R9" s="470"/>
      <c r="S9" s="470"/>
      <c r="T9" s="470"/>
      <c r="U9" s="470"/>
      <c r="V9" s="470"/>
      <c r="W9" s="470"/>
      <c r="X9" s="470"/>
      <c r="Y9" s="470"/>
      <c r="Z9" s="470"/>
      <c r="AA9" s="470"/>
      <c r="AB9" s="470"/>
      <c r="AC9" s="470"/>
      <c r="AD9" s="470"/>
      <c r="AE9" s="470"/>
      <c r="AF9" s="470"/>
      <c r="AG9" s="470"/>
      <c r="AH9" s="470"/>
      <c r="AI9" s="470"/>
      <c r="AJ9" s="470"/>
      <c r="AK9" s="470"/>
      <c r="AL9" s="470"/>
      <c r="AM9" s="470"/>
      <c r="AN9" s="470"/>
      <c r="AO9" s="470"/>
      <c r="AP9" s="470"/>
      <c r="AQ9" s="470"/>
      <c r="AR9" s="470"/>
      <c r="AS9" s="470"/>
      <c r="AT9" s="470"/>
      <c r="AU9" s="470"/>
      <c r="AV9" s="470"/>
      <c r="AW9" s="470"/>
      <c r="AX9" s="470"/>
      <c r="AY9" s="470"/>
      <c r="AZ9" s="470"/>
      <c r="BA9" s="470"/>
      <c r="BB9" s="470"/>
      <c r="BC9" s="470"/>
      <c r="BD9" s="470"/>
      <c r="BE9" s="470"/>
      <c r="BF9" s="470"/>
      <c r="BG9" s="470"/>
      <c r="BH9" s="470"/>
      <c r="BI9" s="470"/>
      <c r="BJ9" s="470"/>
      <c r="BK9" s="470"/>
      <c r="BL9" s="470"/>
      <c r="BM9" s="470"/>
      <c r="BN9" s="470"/>
      <c r="BO9" s="470"/>
      <c r="BP9" s="470"/>
      <c r="BQ9" s="470"/>
      <c r="BR9" s="470"/>
      <c r="BS9" s="470"/>
      <c r="BT9" s="470"/>
      <c r="BU9" s="470"/>
      <c r="BV9" s="470"/>
      <c r="BW9" s="470"/>
      <c r="BX9" s="470"/>
      <c r="BY9" s="470"/>
      <c r="BZ9" s="470"/>
      <c r="CA9" s="470"/>
      <c r="CB9" s="470"/>
      <c r="CC9" s="470"/>
      <c r="CD9" s="470"/>
      <c r="CE9" s="470"/>
      <c r="CF9" s="470"/>
      <c r="CG9" s="470"/>
      <c r="CH9" s="470"/>
      <c r="CI9" s="470"/>
      <c r="CJ9" s="470"/>
      <c r="CK9" s="470"/>
      <c r="CL9" s="470"/>
      <c r="CM9" s="470"/>
      <c r="CN9" s="470"/>
      <c r="CO9" s="470"/>
      <c r="CP9" s="470"/>
      <c r="CQ9" s="470"/>
      <c r="CR9" s="470"/>
      <c r="CS9" s="470"/>
      <c r="CT9" s="470"/>
      <c r="CU9" s="470"/>
      <c r="CV9" s="470"/>
      <c r="CW9" s="470"/>
      <c r="CX9" s="470"/>
      <c r="CY9" s="470"/>
      <c r="CZ9" s="470"/>
      <c r="DA9" s="470"/>
      <c r="DB9" s="470"/>
      <c r="DC9" s="470"/>
      <c r="DD9" s="470"/>
      <c r="DE9" s="470"/>
      <c r="DF9" s="470"/>
      <c r="DG9" s="470"/>
      <c r="DH9" s="470"/>
      <c r="DI9" s="470"/>
      <c r="DJ9" s="470"/>
      <c r="DK9" s="470"/>
      <c r="DL9" s="470"/>
      <c r="DM9" s="470"/>
      <c r="DN9" s="470"/>
      <c r="DO9" s="470"/>
      <c r="DP9" s="470"/>
      <c r="DQ9" s="470"/>
      <c r="DR9" s="470"/>
      <c r="DS9" s="470"/>
      <c r="DT9" s="470"/>
      <c r="DU9" s="470"/>
      <c r="DV9" s="470"/>
      <c r="DW9" s="470"/>
      <c r="DX9" s="470"/>
      <c r="DY9" s="470"/>
      <c r="DZ9" s="470"/>
      <c r="EA9" s="470"/>
      <c r="EB9" s="470"/>
      <c r="EC9" s="470"/>
      <c r="ED9" s="470"/>
      <c r="EE9" s="470"/>
      <c r="EF9" s="470"/>
      <c r="EG9" s="470"/>
      <c r="EH9" s="470"/>
      <c r="EI9" s="470"/>
      <c r="EJ9" s="470"/>
      <c r="EK9" s="470"/>
      <c r="EL9" s="470"/>
      <c r="EM9" s="470"/>
      <c r="EN9" s="470"/>
      <c r="EO9" s="470"/>
      <c r="EP9" s="470"/>
      <c r="EQ9" s="470"/>
      <c r="ER9" s="470"/>
      <c r="ES9" s="470"/>
      <c r="ET9" s="470"/>
      <c r="EU9" s="470"/>
      <c r="EV9" s="470"/>
      <c r="EW9" s="470"/>
      <c r="EX9" s="470"/>
      <c r="EY9" s="470"/>
      <c r="EZ9" s="470"/>
      <c r="FA9" s="470"/>
      <c r="FB9" s="470"/>
      <c r="FC9" s="470"/>
      <c r="FD9" s="470"/>
      <c r="FE9" s="470"/>
      <c r="FF9" s="470"/>
      <c r="FG9" s="470"/>
      <c r="FH9" s="470"/>
      <c r="FI9" s="470"/>
      <c r="FJ9" s="470"/>
      <c r="FK9" s="470"/>
      <c r="FL9" s="470"/>
      <c r="FM9" s="470"/>
      <c r="FN9" s="470"/>
      <c r="FO9" s="470"/>
      <c r="FP9" s="470"/>
      <c r="FQ9" s="470"/>
      <c r="FR9" s="470"/>
      <c r="FS9" s="470"/>
      <c r="FT9" s="470"/>
      <c r="FU9" s="470"/>
      <c r="FV9" s="470"/>
      <c r="FW9" s="470"/>
      <c r="FX9" s="470"/>
      <c r="FY9" s="470"/>
      <c r="FZ9" s="470"/>
      <c r="GA9" s="470"/>
      <c r="GB9" s="470"/>
      <c r="GC9" s="470"/>
      <c r="GD9" s="470"/>
      <c r="GE9" s="470"/>
      <c r="GF9" s="470"/>
      <c r="GG9" s="470"/>
      <c r="GH9" s="470"/>
      <c r="GI9" s="470"/>
      <c r="GJ9" s="470"/>
      <c r="GK9" s="470"/>
      <c r="GL9" s="470"/>
      <c r="GM9" s="470"/>
      <c r="GN9" s="470"/>
      <c r="GO9" s="470"/>
      <c r="GP9" s="470"/>
      <c r="GQ9" s="470"/>
      <c r="GR9" s="470"/>
      <c r="GS9" s="470"/>
      <c r="GT9" s="470"/>
      <c r="GU9" s="470"/>
      <c r="GV9" s="470"/>
      <c r="GW9" s="470"/>
      <c r="GX9" s="470"/>
      <c r="GY9" s="470"/>
      <c r="GZ9" s="470"/>
      <c r="HA9" s="470"/>
      <c r="HB9" s="470"/>
      <c r="HC9" s="470"/>
      <c r="HD9" s="470"/>
      <c r="HE9" s="470"/>
      <c r="HF9" s="470"/>
      <c r="HG9" s="470"/>
      <c r="HH9" s="470"/>
      <c r="HI9" s="470"/>
      <c r="HJ9" s="470"/>
      <c r="HK9" s="470"/>
      <c r="HL9" s="470"/>
      <c r="HM9" s="470"/>
      <c r="HN9" s="470"/>
      <c r="HO9" s="470"/>
      <c r="HP9" s="470"/>
      <c r="HQ9" s="470"/>
      <c r="HR9" s="470"/>
      <c r="HS9" s="470"/>
      <c r="HT9" s="470"/>
      <c r="HU9" s="470"/>
      <c r="HV9" s="470"/>
      <c r="HW9" s="470"/>
      <c r="HX9" s="470"/>
      <c r="HY9" s="470"/>
      <c r="HZ9" s="470"/>
      <c r="IA9" s="470"/>
      <c r="IB9" s="470"/>
      <c r="IC9" s="470"/>
      <c r="ID9" s="470"/>
      <c r="IE9" s="470"/>
      <c r="IF9" s="470"/>
      <c r="IG9" s="470"/>
      <c r="IH9" s="470"/>
      <c r="II9" s="470"/>
      <c r="IJ9" s="470"/>
      <c r="IK9" s="470"/>
      <c r="IL9" s="470"/>
      <c r="IM9" s="470"/>
      <c r="IN9" s="470"/>
      <c r="IO9" s="470"/>
      <c r="IP9" s="470"/>
      <c r="IQ9" s="470"/>
      <c r="IR9" s="470"/>
      <c r="IS9" s="470"/>
      <c r="IT9" s="470"/>
      <c r="IU9" s="470"/>
      <c r="IV9" s="470"/>
    </row>
    <row r="10" spans="1:256" ht="25.5" customHeight="1">
      <c r="A10" s="476" t="s">
        <v>731</v>
      </c>
      <c r="B10" s="477">
        <v>1</v>
      </c>
      <c r="C10" s="477">
        <v>0</v>
      </c>
      <c r="D10" s="477">
        <v>1</v>
      </c>
      <c r="E10" s="477">
        <v>0</v>
      </c>
      <c r="F10" s="477">
        <v>3</v>
      </c>
      <c r="G10" s="477">
        <v>1</v>
      </c>
      <c r="H10" s="478">
        <f t="shared" si="0"/>
        <v>6</v>
      </c>
      <c r="I10" s="478"/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  <c r="AA10" s="470"/>
      <c r="AB10" s="470"/>
      <c r="AC10" s="470"/>
      <c r="AD10" s="470"/>
      <c r="AE10" s="470"/>
      <c r="AF10" s="470"/>
      <c r="AG10" s="470"/>
      <c r="AH10" s="470"/>
      <c r="AI10" s="470"/>
      <c r="AJ10" s="470"/>
      <c r="AK10" s="470"/>
      <c r="AL10" s="470"/>
      <c r="AM10" s="470"/>
      <c r="AN10" s="470"/>
      <c r="AO10" s="470"/>
      <c r="AP10" s="470"/>
      <c r="AQ10" s="470"/>
      <c r="AR10" s="470"/>
      <c r="AS10" s="470"/>
      <c r="AT10" s="470"/>
      <c r="AU10" s="470"/>
      <c r="AV10" s="470"/>
      <c r="AW10" s="470"/>
      <c r="AX10" s="470"/>
      <c r="AY10" s="470"/>
      <c r="AZ10" s="470"/>
      <c r="BA10" s="470"/>
      <c r="BB10" s="470"/>
      <c r="BC10" s="470"/>
      <c r="BD10" s="470"/>
      <c r="BE10" s="470"/>
      <c r="BF10" s="470"/>
      <c r="BG10" s="470"/>
      <c r="BH10" s="470"/>
      <c r="BI10" s="470"/>
      <c r="BJ10" s="470"/>
      <c r="BK10" s="470"/>
      <c r="BL10" s="470"/>
      <c r="BM10" s="470"/>
      <c r="BN10" s="470"/>
      <c r="BO10" s="470"/>
      <c r="BP10" s="470"/>
      <c r="BQ10" s="470"/>
      <c r="BR10" s="470"/>
      <c r="BS10" s="470"/>
      <c r="BT10" s="470"/>
      <c r="BU10" s="470"/>
      <c r="BV10" s="470"/>
      <c r="BW10" s="470"/>
      <c r="BX10" s="470"/>
      <c r="BY10" s="470"/>
      <c r="BZ10" s="470"/>
      <c r="CA10" s="470"/>
      <c r="CB10" s="470"/>
      <c r="CC10" s="470"/>
      <c r="CD10" s="470"/>
      <c r="CE10" s="470"/>
      <c r="CF10" s="470"/>
      <c r="CG10" s="470"/>
      <c r="CH10" s="470"/>
      <c r="CI10" s="470"/>
      <c r="CJ10" s="470"/>
      <c r="CK10" s="470"/>
      <c r="CL10" s="470"/>
      <c r="CM10" s="470"/>
      <c r="CN10" s="470"/>
      <c r="CO10" s="470"/>
      <c r="CP10" s="470"/>
      <c r="CQ10" s="470"/>
      <c r="CR10" s="470"/>
      <c r="CS10" s="470"/>
      <c r="CT10" s="470"/>
      <c r="CU10" s="470"/>
      <c r="CV10" s="470"/>
      <c r="CW10" s="470"/>
      <c r="CX10" s="470"/>
      <c r="CY10" s="470"/>
      <c r="CZ10" s="470"/>
      <c r="DA10" s="470"/>
      <c r="DB10" s="470"/>
      <c r="DC10" s="470"/>
      <c r="DD10" s="470"/>
      <c r="DE10" s="470"/>
      <c r="DF10" s="470"/>
      <c r="DG10" s="470"/>
      <c r="DH10" s="470"/>
      <c r="DI10" s="470"/>
      <c r="DJ10" s="470"/>
      <c r="DK10" s="470"/>
      <c r="DL10" s="470"/>
      <c r="DM10" s="470"/>
      <c r="DN10" s="470"/>
      <c r="DO10" s="470"/>
      <c r="DP10" s="470"/>
      <c r="DQ10" s="470"/>
      <c r="DR10" s="470"/>
      <c r="DS10" s="470"/>
      <c r="DT10" s="470"/>
      <c r="DU10" s="470"/>
      <c r="DV10" s="470"/>
      <c r="DW10" s="470"/>
      <c r="DX10" s="470"/>
      <c r="DY10" s="470"/>
      <c r="DZ10" s="470"/>
      <c r="EA10" s="470"/>
      <c r="EB10" s="470"/>
      <c r="EC10" s="470"/>
      <c r="ED10" s="470"/>
      <c r="EE10" s="470"/>
      <c r="EF10" s="470"/>
      <c r="EG10" s="470"/>
      <c r="EH10" s="470"/>
      <c r="EI10" s="470"/>
      <c r="EJ10" s="470"/>
      <c r="EK10" s="470"/>
      <c r="EL10" s="470"/>
      <c r="EM10" s="470"/>
      <c r="EN10" s="470"/>
      <c r="EO10" s="470"/>
      <c r="EP10" s="470"/>
      <c r="EQ10" s="470"/>
      <c r="ER10" s="470"/>
      <c r="ES10" s="470"/>
      <c r="ET10" s="470"/>
      <c r="EU10" s="470"/>
      <c r="EV10" s="470"/>
      <c r="EW10" s="470"/>
      <c r="EX10" s="470"/>
      <c r="EY10" s="470"/>
      <c r="EZ10" s="470"/>
      <c r="FA10" s="470"/>
      <c r="FB10" s="470"/>
      <c r="FC10" s="470"/>
      <c r="FD10" s="470"/>
      <c r="FE10" s="470"/>
      <c r="FF10" s="470"/>
      <c r="FG10" s="470"/>
      <c r="FH10" s="470"/>
      <c r="FI10" s="470"/>
      <c r="FJ10" s="470"/>
      <c r="FK10" s="470"/>
      <c r="FL10" s="470"/>
      <c r="FM10" s="470"/>
      <c r="FN10" s="470"/>
      <c r="FO10" s="470"/>
      <c r="FP10" s="470"/>
      <c r="FQ10" s="470"/>
      <c r="FR10" s="470"/>
      <c r="FS10" s="470"/>
      <c r="FT10" s="470"/>
      <c r="FU10" s="470"/>
      <c r="FV10" s="470"/>
      <c r="FW10" s="470"/>
      <c r="FX10" s="470"/>
      <c r="FY10" s="470"/>
      <c r="FZ10" s="470"/>
      <c r="GA10" s="470"/>
      <c r="GB10" s="470"/>
      <c r="GC10" s="470"/>
      <c r="GD10" s="470"/>
      <c r="GE10" s="470"/>
      <c r="GF10" s="470"/>
      <c r="GG10" s="470"/>
      <c r="GH10" s="470"/>
      <c r="GI10" s="470"/>
      <c r="GJ10" s="470"/>
      <c r="GK10" s="470"/>
      <c r="GL10" s="470"/>
      <c r="GM10" s="470"/>
      <c r="GN10" s="470"/>
      <c r="GO10" s="470"/>
      <c r="GP10" s="470"/>
      <c r="GQ10" s="470"/>
      <c r="GR10" s="470"/>
      <c r="GS10" s="470"/>
      <c r="GT10" s="470"/>
      <c r="GU10" s="470"/>
      <c r="GV10" s="470"/>
      <c r="GW10" s="470"/>
      <c r="GX10" s="470"/>
      <c r="GY10" s="470"/>
      <c r="GZ10" s="470"/>
      <c r="HA10" s="470"/>
      <c r="HB10" s="470"/>
      <c r="HC10" s="470"/>
      <c r="HD10" s="470"/>
      <c r="HE10" s="470"/>
      <c r="HF10" s="470"/>
      <c r="HG10" s="470"/>
      <c r="HH10" s="470"/>
      <c r="HI10" s="470"/>
      <c r="HJ10" s="470"/>
      <c r="HK10" s="470"/>
      <c r="HL10" s="470"/>
      <c r="HM10" s="470"/>
      <c r="HN10" s="470"/>
      <c r="HO10" s="470"/>
      <c r="HP10" s="470"/>
      <c r="HQ10" s="470"/>
      <c r="HR10" s="470"/>
      <c r="HS10" s="470"/>
      <c r="HT10" s="470"/>
      <c r="HU10" s="470"/>
      <c r="HV10" s="470"/>
      <c r="HW10" s="470"/>
      <c r="HX10" s="470"/>
      <c r="HY10" s="470"/>
      <c r="HZ10" s="470"/>
      <c r="IA10" s="470"/>
      <c r="IB10" s="470"/>
      <c r="IC10" s="470"/>
      <c r="ID10" s="470"/>
      <c r="IE10" s="470"/>
      <c r="IF10" s="470"/>
      <c r="IG10" s="470"/>
      <c r="IH10" s="470"/>
      <c r="II10" s="470"/>
      <c r="IJ10" s="470"/>
      <c r="IK10" s="470"/>
      <c r="IL10" s="470"/>
      <c r="IM10" s="470"/>
      <c r="IN10" s="470"/>
      <c r="IO10" s="470"/>
      <c r="IP10" s="470"/>
      <c r="IQ10" s="470"/>
      <c r="IR10" s="470"/>
      <c r="IS10" s="470"/>
      <c r="IT10" s="470"/>
      <c r="IU10" s="470"/>
      <c r="IV10" s="470"/>
    </row>
    <row r="11" spans="1:256" ht="25.5" customHeight="1">
      <c r="A11" s="476" t="s">
        <v>732</v>
      </c>
      <c r="B11" s="477">
        <f t="shared" ref="B11:G11" si="1">SUM(B9:B10)</f>
        <v>6</v>
      </c>
      <c r="C11" s="477">
        <f t="shared" si="1"/>
        <v>4</v>
      </c>
      <c r="D11" s="477">
        <f t="shared" si="1"/>
        <v>5</v>
      </c>
      <c r="E11" s="477">
        <f t="shared" si="1"/>
        <v>5</v>
      </c>
      <c r="F11" s="477">
        <f t="shared" si="1"/>
        <v>7</v>
      </c>
      <c r="G11" s="477">
        <f t="shared" si="1"/>
        <v>5</v>
      </c>
      <c r="H11" s="478">
        <f t="shared" si="0"/>
        <v>32</v>
      </c>
      <c r="I11" s="478" t="s">
        <v>733</v>
      </c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0"/>
      <c r="AB11" s="470"/>
      <c r="AC11" s="470"/>
      <c r="AD11" s="470"/>
      <c r="AE11" s="470"/>
      <c r="AF11" s="470"/>
      <c r="AG11" s="470"/>
      <c r="AH11" s="470"/>
      <c r="AI11" s="470"/>
      <c r="AJ11" s="470"/>
      <c r="AK11" s="470"/>
      <c r="AL11" s="470"/>
      <c r="AM11" s="470"/>
      <c r="AN11" s="470"/>
      <c r="AO11" s="470"/>
      <c r="AP11" s="470"/>
      <c r="AQ11" s="470"/>
      <c r="AR11" s="470"/>
      <c r="AS11" s="470"/>
      <c r="AT11" s="470"/>
      <c r="AU11" s="470"/>
      <c r="AV11" s="470"/>
      <c r="AW11" s="470"/>
      <c r="AX11" s="470"/>
      <c r="AY11" s="470"/>
      <c r="AZ11" s="470"/>
      <c r="BA11" s="470"/>
      <c r="BB11" s="470"/>
      <c r="BC11" s="470"/>
      <c r="BD11" s="470"/>
      <c r="BE11" s="470"/>
      <c r="BF11" s="470"/>
      <c r="BG11" s="470"/>
      <c r="BH11" s="470"/>
      <c r="BI11" s="470"/>
      <c r="BJ11" s="470"/>
      <c r="BK11" s="470"/>
      <c r="BL11" s="470"/>
      <c r="BM11" s="470"/>
      <c r="BN11" s="470"/>
      <c r="BO11" s="470"/>
      <c r="BP11" s="470"/>
      <c r="BQ11" s="470"/>
      <c r="BR11" s="470"/>
      <c r="BS11" s="470"/>
      <c r="BT11" s="470"/>
      <c r="BU11" s="470"/>
      <c r="BV11" s="470"/>
      <c r="BW11" s="470"/>
      <c r="BX11" s="470"/>
      <c r="BY11" s="470"/>
      <c r="BZ11" s="470"/>
      <c r="CA11" s="470"/>
      <c r="CB11" s="470"/>
      <c r="CC11" s="470"/>
      <c r="CD11" s="470"/>
      <c r="CE11" s="470"/>
      <c r="CF11" s="470"/>
      <c r="CG11" s="470"/>
      <c r="CH11" s="470"/>
      <c r="CI11" s="470"/>
      <c r="CJ11" s="470"/>
      <c r="CK11" s="470"/>
      <c r="CL11" s="470"/>
      <c r="CM11" s="470"/>
      <c r="CN11" s="470"/>
      <c r="CO11" s="470"/>
      <c r="CP11" s="470"/>
      <c r="CQ11" s="470"/>
      <c r="CR11" s="470"/>
      <c r="CS11" s="470"/>
      <c r="CT11" s="470"/>
      <c r="CU11" s="470"/>
      <c r="CV11" s="470"/>
      <c r="CW11" s="470"/>
      <c r="CX11" s="470"/>
      <c r="CY11" s="470"/>
      <c r="CZ11" s="470"/>
      <c r="DA11" s="470"/>
      <c r="DB11" s="470"/>
      <c r="DC11" s="470"/>
      <c r="DD11" s="470"/>
      <c r="DE11" s="470"/>
      <c r="DF11" s="470"/>
      <c r="DG11" s="470"/>
      <c r="DH11" s="470"/>
      <c r="DI11" s="470"/>
      <c r="DJ11" s="470"/>
      <c r="DK11" s="470"/>
      <c r="DL11" s="470"/>
      <c r="DM11" s="470"/>
      <c r="DN11" s="470"/>
      <c r="DO11" s="470"/>
      <c r="DP11" s="470"/>
      <c r="DQ11" s="470"/>
      <c r="DR11" s="470"/>
      <c r="DS11" s="470"/>
      <c r="DT11" s="470"/>
      <c r="DU11" s="470"/>
      <c r="DV11" s="470"/>
      <c r="DW11" s="470"/>
      <c r="DX11" s="470"/>
      <c r="DY11" s="470"/>
      <c r="DZ11" s="470"/>
      <c r="EA11" s="470"/>
      <c r="EB11" s="470"/>
      <c r="EC11" s="470"/>
      <c r="ED11" s="470"/>
      <c r="EE11" s="470"/>
      <c r="EF11" s="470"/>
      <c r="EG11" s="470"/>
      <c r="EH11" s="470"/>
      <c r="EI11" s="470"/>
      <c r="EJ11" s="470"/>
      <c r="EK11" s="470"/>
      <c r="EL11" s="470"/>
      <c r="EM11" s="470"/>
      <c r="EN11" s="470"/>
      <c r="EO11" s="470"/>
      <c r="EP11" s="470"/>
      <c r="EQ11" s="470"/>
      <c r="ER11" s="470"/>
      <c r="ES11" s="470"/>
      <c r="ET11" s="470"/>
      <c r="EU11" s="470"/>
      <c r="EV11" s="470"/>
      <c r="EW11" s="470"/>
      <c r="EX11" s="470"/>
      <c r="EY11" s="470"/>
      <c r="EZ11" s="470"/>
      <c r="FA11" s="470"/>
      <c r="FB11" s="470"/>
      <c r="FC11" s="470"/>
      <c r="FD11" s="470"/>
      <c r="FE11" s="470"/>
      <c r="FF11" s="470"/>
      <c r="FG11" s="470"/>
      <c r="FH11" s="470"/>
      <c r="FI11" s="470"/>
      <c r="FJ11" s="470"/>
      <c r="FK11" s="470"/>
      <c r="FL11" s="470"/>
      <c r="FM11" s="470"/>
      <c r="FN11" s="470"/>
      <c r="FO11" s="470"/>
      <c r="FP11" s="470"/>
      <c r="FQ11" s="470"/>
      <c r="FR11" s="470"/>
      <c r="FS11" s="470"/>
      <c r="FT11" s="470"/>
      <c r="FU11" s="470"/>
      <c r="FV11" s="470"/>
      <c r="FW11" s="470"/>
      <c r="FX11" s="470"/>
      <c r="FY11" s="470"/>
      <c r="FZ11" s="470"/>
      <c r="GA11" s="470"/>
      <c r="GB11" s="470"/>
      <c r="GC11" s="470"/>
      <c r="GD11" s="470"/>
      <c r="GE11" s="470"/>
      <c r="GF11" s="470"/>
      <c r="GG11" s="470"/>
      <c r="GH11" s="470"/>
      <c r="GI11" s="470"/>
      <c r="GJ11" s="470"/>
      <c r="GK11" s="470"/>
      <c r="GL11" s="470"/>
      <c r="GM11" s="470"/>
      <c r="GN11" s="470"/>
      <c r="GO11" s="470"/>
      <c r="GP11" s="470"/>
      <c r="GQ11" s="470"/>
      <c r="GR11" s="470"/>
      <c r="GS11" s="470"/>
      <c r="GT11" s="470"/>
      <c r="GU11" s="470"/>
      <c r="GV11" s="470"/>
      <c r="GW11" s="470"/>
      <c r="GX11" s="470"/>
      <c r="GY11" s="470"/>
      <c r="GZ11" s="470"/>
      <c r="HA11" s="470"/>
      <c r="HB11" s="470"/>
      <c r="HC11" s="470"/>
      <c r="HD11" s="470"/>
      <c r="HE11" s="470"/>
      <c r="HF11" s="470"/>
      <c r="HG11" s="470"/>
      <c r="HH11" s="470"/>
      <c r="HI11" s="470"/>
      <c r="HJ11" s="470"/>
      <c r="HK11" s="470"/>
      <c r="HL11" s="470"/>
      <c r="HM11" s="470"/>
      <c r="HN11" s="470"/>
      <c r="HO11" s="470"/>
      <c r="HP11" s="470"/>
      <c r="HQ11" s="470"/>
      <c r="HR11" s="470"/>
      <c r="HS11" s="470"/>
      <c r="HT11" s="470"/>
      <c r="HU11" s="470"/>
      <c r="HV11" s="470"/>
      <c r="HW11" s="470"/>
      <c r="HX11" s="470"/>
      <c r="HY11" s="470"/>
      <c r="HZ11" s="470"/>
      <c r="IA11" s="470"/>
      <c r="IB11" s="470"/>
      <c r="IC11" s="470"/>
      <c r="ID11" s="470"/>
      <c r="IE11" s="470"/>
      <c r="IF11" s="470"/>
      <c r="IG11" s="470"/>
      <c r="IH11" s="470"/>
      <c r="II11" s="470"/>
      <c r="IJ11" s="470"/>
      <c r="IK11" s="470"/>
      <c r="IL11" s="470"/>
      <c r="IM11" s="470"/>
      <c r="IN11" s="470"/>
      <c r="IO11" s="470"/>
      <c r="IP11" s="470"/>
      <c r="IQ11" s="470"/>
      <c r="IR11" s="470"/>
      <c r="IS11" s="470"/>
      <c r="IT11" s="470"/>
      <c r="IU11" s="470"/>
      <c r="IV11" s="470"/>
    </row>
    <row r="12" spans="1:256" ht="25.5" customHeight="1">
      <c r="A12" s="482" t="s">
        <v>734</v>
      </c>
      <c r="B12" s="484">
        <f t="shared" ref="B12:G12" si="2">SUM(B7:B10)</f>
        <v>31</v>
      </c>
      <c r="C12" s="484">
        <f t="shared" si="2"/>
        <v>28</v>
      </c>
      <c r="D12" s="484">
        <f t="shared" si="2"/>
        <v>31</v>
      </c>
      <c r="E12" s="484">
        <f t="shared" si="2"/>
        <v>30</v>
      </c>
      <c r="F12" s="484">
        <f t="shared" si="2"/>
        <v>31</v>
      </c>
      <c r="G12" s="484">
        <f t="shared" si="2"/>
        <v>30</v>
      </c>
      <c r="H12" s="478">
        <f t="shared" si="0"/>
        <v>181</v>
      </c>
      <c r="I12" s="478"/>
      <c r="M12" s="470">
        <f>H7*8</f>
        <v>992</v>
      </c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  <c r="AG12" s="470"/>
      <c r="AH12" s="470"/>
      <c r="AI12" s="470"/>
      <c r="AJ12" s="470"/>
      <c r="AK12" s="470"/>
      <c r="AL12" s="470"/>
      <c r="AM12" s="470"/>
      <c r="AN12" s="470"/>
      <c r="AO12" s="470"/>
      <c r="AP12" s="470"/>
      <c r="AQ12" s="470"/>
      <c r="AR12" s="470"/>
      <c r="AS12" s="470"/>
      <c r="AT12" s="470"/>
      <c r="AU12" s="470"/>
      <c r="AV12" s="470"/>
      <c r="AW12" s="470"/>
      <c r="AX12" s="470"/>
      <c r="AY12" s="470"/>
      <c r="AZ12" s="470"/>
      <c r="BA12" s="470"/>
      <c r="BB12" s="470"/>
      <c r="BC12" s="470"/>
      <c r="BD12" s="470"/>
      <c r="BE12" s="470"/>
      <c r="BF12" s="470"/>
      <c r="BG12" s="470"/>
      <c r="BH12" s="470"/>
      <c r="BI12" s="470"/>
      <c r="BJ12" s="470"/>
      <c r="BK12" s="470"/>
      <c r="BL12" s="470"/>
      <c r="BM12" s="470"/>
      <c r="BN12" s="470"/>
      <c r="BO12" s="470"/>
      <c r="BP12" s="470"/>
      <c r="BQ12" s="470"/>
      <c r="BR12" s="470"/>
      <c r="BS12" s="470"/>
      <c r="BT12" s="470"/>
      <c r="BU12" s="470"/>
      <c r="BV12" s="470"/>
      <c r="BW12" s="470"/>
      <c r="BX12" s="470"/>
      <c r="BY12" s="470"/>
      <c r="BZ12" s="470"/>
      <c r="CA12" s="470"/>
      <c r="CB12" s="470"/>
      <c r="CC12" s="470"/>
      <c r="CD12" s="470"/>
      <c r="CE12" s="470"/>
      <c r="CF12" s="470"/>
      <c r="CG12" s="470"/>
      <c r="CH12" s="470"/>
      <c r="CI12" s="470"/>
      <c r="CJ12" s="470"/>
      <c r="CK12" s="470"/>
      <c r="CL12" s="470"/>
      <c r="CM12" s="470"/>
      <c r="CN12" s="470"/>
      <c r="CO12" s="470"/>
      <c r="CP12" s="470"/>
      <c r="CQ12" s="470"/>
      <c r="CR12" s="470"/>
      <c r="CS12" s="470"/>
      <c r="CT12" s="470"/>
      <c r="CU12" s="470"/>
      <c r="CV12" s="470"/>
      <c r="CW12" s="470"/>
      <c r="CX12" s="470"/>
      <c r="CY12" s="470"/>
      <c r="CZ12" s="470"/>
      <c r="DA12" s="470"/>
      <c r="DB12" s="470"/>
      <c r="DC12" s="470"/>
      <c r="DD12" s="470"/>
      <c r="DE12" s="470"/>
      <c r="DF12" s="470"/>
      <c r="DG12" s="470"/>
      <c r="DH12" s="470"/>
      <c r="DI12" s="470"/>
      <c r="DJ12" s="470"/>
      <c r="DK12" s="470"/>
      <c r="DL12" s="470"/>
      <c r="DM12" s="470"/>
      <c r="DN12" s="470"/>
      <c r="DO12" s="470"/>
      <c r="DP12" s="470"/>
      <c r="DQ12" s="470"/>
      <c r="DR12" s="470"/>
      <c r="DS12" s="470"/>
      <c r="DT12" s="470"/>
      <c r="DU12" s="470"/>
      <c r="DV12" s="470"/>
      <c r="DW12" s="470"/>
      <c r="DX12" s="470"/>
      <c r="DY12" s="470"/>
      <c r="DZ12" s="470"/>
      <c r="EA12" s="470"/>
      <c r="EB12" s="470"/>
      <c r="EC12" s="470"/>
      <c r="ED12" s="470"/>
      <c r="EE12" s="470"/>
      <c r="EF12" s="470"/>
      <c r="EG12" s="470"/>
      <c r="EH12" s="470"/>
      <c r="EI12" s="470"/>
      <c r="EJ12" s="470"/>
      <c r="EK12" s="470"/>
      <c r="EL12" s="470"/>
      <c r="EM12" s="470"/>
      <c r="EN12" s="470"/>
      <c r="EO12" s="470"/>
      <c r="EP12" s="470"/>
      <c r="EQ12" s="470"/>
      <c r="ER12" s="470"/>
      <c r="ES12" s="470"/>
      <c r="ET12" s="470"/>
      <c r="EU12" s="470"/>
      <c r="EV12" s="470"/>
      <c r="EW12" s="470"/>
      <c r="EX12" s="470"/>
      <c r="EY12" s="470"/>
      <c r="EZ12" s="470"/>
      <c r="FA12" s="470"/>
      <c r="FB12" s="470"/>
      <c r="FC12" s="470"/>
      <c r="FD12" s="470"/>
      <c r="FE12" s="470"/>
      <c r="FF12" s="470"/>
      <c r="FG12" s="470"/>
      <c r="FH12" s="470"/>
      <c r="FI12" s="470"/>
      <c r="FJ12" s="470"/>
      <c r="FK12" s="470"/>
      <c r="FL12" s="470"/>
      <c r="FM12" s="470"/>
      <c r="FN12" s="470"/>
      <c r="FO12" s="470"/>
      <c r="FP12" s="470"/>
      <c r="FQ12" s="470"/>
      <c r="FR12" s="470"/>
      <c r="FS12" s="470"/>
      <c r="FT12" s="470"/>
      <c r="FU12" s="470"/>
      <c r="FV12" s="470"/>
      <c r="FW12" s="470"/>
      <c r="FX12" s="470"/>
      <c r="FY12" s="470"/>
      <c r="FZ12" s="470"/>
      <c r="GA12" s="470"/>
      <c r="GB12" s="470"/>
      <c r="GC12" s="470"/>
      <c r="GD12" s="470"/>
      <c r="GE12" s="470"/>
      <c r="GF12" s="470"/>
      <c r="GG12" s="470"/>
      <c r="GH12" s="470"/>
      <c r="GI12" s="470"/>
      <c r="GJ12" s="470"/>
      <c r="GK12" s="470"/>
      <c r="GL12" s="470"/>
      <c r="GM12" s="470"/>
      <c r="GN12" s="470"/>
      <c r="GO12" s="470"/>
      <c r="GP12" s="470"/>
      <c r="GQ12" s="470"/>
      <c r="GR12" s="470"/>
      <c r="GS12" s="470"/>
      <c r="GT12" s="470"/>
      <c r="GU12" s="470"/>
      <c r="GV12" s="470"/>
      <c r="GW12" s="470"/>
      <c r="GX12" s="470"/>
      <c r="GY12" s="470"/>
      <c r="GZ12" s="470"/>
      <c r="HA12" s="470"/>
      <c r="HB12" s="470"/>
      <c r="HC12" s="470"/>
      <c r="HD12" s="470"/>
      <c r="HE12" s="470"/>
      <c r="HF12" s="470"/>
      <c r="HG12" s="470"/>
      <c r="HH12" s="470"/>
      <c r="HI12" s="470"/>
      <c r="HJ12" s="470"/>
      <c r="HK12" s="470"/>
      <c r="HL12" s="470"/>
      <c r="HM12" s="470"/>
      <c r="HN12" s="470"/>
      <c r="HO12" s="470"/>
      <c r="HP12" s="470"/>
      <c r="HQ12" s="470"/>
      <c r="HR12" s="470"/>
      <c r="HS12" s="470"/>
      <c r="HT12" s="470"/>
      <c r="HU12" s="470"/>
      <c r="HV12" s="470"/>
      <c r="HW12" s="470"/>
      <c r="HX12" s="470"/>
      <c r="HY12" s="470"/>
      <c r="HZ12" s="470"/>
      <c r="IA12" s="470"/>
      <c r="IB12" s="470"/>
      <c r="IC12" s="470"/>
      <c r="ID12" s="470"/>
      <c r="IE12" s="470"/>
      <c r="IF12" s="470"/>
      <c r="IG12" s="470"/>
      <c r="IH12" s="470"/>
      <c r="II12" s="470"/>
      <c r="IJ12" s="470"/>
      <c r="IK12" s="470"/>
      <c r="IL12" s="470"/>
      <c r="IM12" s="470"/>
      <c r="IN12" s="470"/>
      <c r="IO12" s="470"/>
      <c r="IP12" s="470"/>
      <c r="IQ12" s="470"/>
      <c r="IR12" s="470"/>
      <c r="IS12" s="470"/>
      <c r="IT12" s="470"/>
      <c r="IU12" s="470"/>
      <c r="IV12" s="470"/>
    </row>
    <row r="13" spans="1:256" ht="12" customHeight="1">
      <c r="A13" s="485"/>
      <c r="B13" s="486"/>
      <c r="C13" s="486"/>
      <c r="D13" s="486"/>
      <c r="E13" s="486"/>
      <c r="F13" s="486"/>
      <c r="G13" s="486"/>
      <c r="H13" s="487"/>
      <c r="I13" s="487"/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0"/>
      <c r="Z13" s="470"/>
      <c r="AA13" s="470"/>
      <c r="AB13" s="470"/>
      <c r="AC13" s="470"/>
      <c r="AD13" s="470"/>
      <c r="AE13" s="470"/>
      <c r="AF13" s="470"/>
      <c r="AG13" s="470"/>
      <c r="AH13" s="470"/>
      <c r="AI13" s="470"/>
      <c r="AJ13" s="470"/>
      <c r="AK13" s="470"/>
      <c r="AL13" s="470"/>
      <c r="AM13" s="470"/>
      <c r="AN13" s="470"/>
      <c r="AO13" s="470"/>
      <c r="AP13" s="470"/>
      <c r="AQ13" s="470"/>
      <c r="AR13" s="470"/>
      <c r="AS13" s="470"/>
      <c r="AT13" s="470"/>
      <c r="AU13" s="470"/>
      <c r="AV13" s="470"/>
      <c r="AW13" s="470"/>
      <c r="AX13" s="470"/>
      <c r="AY13" s="470"/>
      <c r="AZ13" s="470"/>
      <c r="BA13" s="470"/>
      <c r="BB13" s="470"/>
      <c r="BC13" s="470"/>
      <c r="BD13" s="470"/>
      <c r="BE13" s="470"/>
      <c r="BF13" s="470"/>
      <c r="BG13" s="470"/>
      <c r="BH13" s="470"/>
      <c r="BI13" s="470"/>
      <c r="BJ13" s="470"/>
      <c r="BK13" s="470"/>
      <c r="BL13" s="470"/>
      <c r="BM13" s="470"/>
      <c r="BN13" s="470"/>
      <c r="BO13" s="470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  <c r="CL13" s="470"/>
      <c r="CM13" s="470"/>
      <c r="CN13" s="470"/>
      <c r="CO13" s="470"/>
      <c r="CP13" s="470"/>
      <c r="CQ13" s="470"/>
      <c r="CR13" s="470"/>
      <c r="CS13" s="470"/>
      <c r="CT13" s="470"/>
      <c r="CU13" s="470"/>
      <c r="CV13" s="470"/>
      <c r="CW13" s="470"/>
      <c r="CX13" s="470"/>
      <c r="CY13" s="470"/>
      <c r="CZ13" s="470"/>
      <c r="DA13" s="470"/>
      <c r="DB13" s="470"/>
      <c r="DC13" s="470"/>
      <c r="DD13" s="470"/>
      <c r="DE13" s="470"/>
      <c r="DF13" s="470"/>
      <c r="DG13" s="470"/>
      <c r="DH13" s="470"/>
      <c r="DI13" s="470"/>
      <c r="DJ13" s="470"/>
      <c r="DK13" s="470"/>
      <c r="DL13" s="470"/>
      <c r="DM13" s="470"/>
      <c r="DN13" s="470"/>
      <c r="DO13" s="470"/>
      <c r="DP13" s="470"/>
      <c r="DQ13" s="470"/>
      <c r="DR13" s="470"/>
      <c r="DS13" s="470"/>
      <c r="DT13" s="470"/>
      <c r="DU13" s="470"/>
      <c r="DV13" s="470"/>
      <c r="DW13" s="470"/>
      <c r="DX13" s="470"/>
      <c r="DY13" s="470"/>
      <c r="DZ13" s="470"/>
      <c r="EA13" s="470"/>
      <c r="EB13" s="470"/>
      <c r="EC13" s="470"/>
      <c r="ED13" s="470"/>
      <c r="EE13" s="470"/>
      <c r="EF13" s="470"/>
      <c r="EG13" s="470"/>
      <c r="EH13" s="470"/>
      <c r="EI13" s="470"/>
      <c r="EJ13" s="470"/>
      <c r="EK13" s="470"/>
      <c r="EL13" s="470"/>
      <c r="EM13" s="470"/>
      <c r="EN13" s="470"/>
      <c r="EO13" s="470"/>
      <c r="EP13" s="470"/>
      <c r="EQ13" s="470"/>
      <c r="ER13" s="470"/>
      <c r="ES13" s="470"/>
      <c r="ET13" s="470"/>
      <c r="EU13" s="470"/>
      <c r="EV13" s="470"/>
      <c r="EW13" s="470"/>
      <c r="EX13" s="470"/>
      <c r="EY13" s="470"/>
      <c r="EZ13" s="470"/>
      <c r="FA13" s="470"/>
      <c r="FB13" s="470"/>
      <c r="FC13" s="470"/>
      <c r="FD13" s="470"/>
      <c r="FE13" s="470"/>
      <c r="FF13" s="470"/>
      <c r="FG13" s="470"/>
      <c r="FH13" s="470"/>
      <c r="FI13" s="470"/>
      <c r="FJ13" s="470"/>
      <c r="FK13" s="470"/>
      <c r="FL13" s="470"/>
      <c r="FM13" s="470"/>
      <c r="FN13" s="470"/>
      <c r="FO13" s="470"/>
      <c r="FP13" s="470"/>
      <c r="FQ13" s="470"/>
      <c r="FR13" s="470"/>
      <c r="FS13" s="470"/>
      <c r="FT13" s="470"/>
      <c r="FU13" s="470"/>
      <c r="FV13" s="470"/>
      <c r="FW13" s="470"/>
      <c r="FX13" s="470"/>
      <c r="FY13" s="470"/>
      <c r="FZ13" s="470"/>
      <c r="GA13" s="470"/>
      <c r="GB13" s="470"/>
      <c r="GC13" s="470"/>
      <c r="GD13" s="470"/>
      <c r="GE13" s="470"/>
      <c r="GF13" s="470"/>
      <c r="GG13" s="470"/>
      <c r="GH13" s="470"/>
      <c r="GI13" s="470"/>
      <c r="GJ13" s="470"/>
      <c r="GK13" s="470"/>
      <c r="GL13" s="470"/>
      <c r="GM13" s="470"/>
      <c r="GN13" s="470"/>
      <c r="GO13" s="470"/>
      <c r="GP13" s="470"/>
      <c r="GQ13" s="470"/>
      <c r="GR13" s="470"/>
      <c r="GS13" s="470"/>
      <c r="GT13" s="470"/>
      <c r="GU13" s="470"/>
      <c r="GV13" s="470"/>
      <c r="GW13" s="470"/>
      <c r="GX13" s="470"/>
      <c r="GY13" s="470"/>
      <c r="GZ13" s="470"/>
      <c r="HA13" s="470"/>
      <c r="HB13" s="470"/>
      <c r="HC13" s="470"/>
      <c r="HD13" s="470"/>
      <c r="HE13" s="470"/>
      <c r="HF13" s="470"/>
      <c r="HG13" s="470"/>
      <c r="HH13" s="470"/>
      <c r="HI13" s="470"/>
      <c r="HJ13" s="470"/>
      <c r="HK13" s="470"/>
      <c r="HL13" s="470"/>
      <c r="HM13" s="470"/>
      <c r="HN13" s="470"/>
      <c r="HO13" s="470"/>
      <c r="HP13" s="470"/>
      <c r="HQ13" s="470"/>
      <c r="HR13" s="470"/>
      <c r="HS13" s="470"/>
      <c r="HT13" s="470"/>
      <c r="HU13" s="470"/>
      <c r="HV13" s="470"/>
      <c r="HW13" s="470"/>
      <c r="HX13" s="470"/>
      <c r="HY13" s="470"/>
      <c r="HZ13" s="470"/>
      <c r="IA13" s="470"/>
      <c r="IB13" s="470"/>
      <c r="IC13" s="470"/>
      <c r="ID13" s="470"/>
      <c r="IE13" s="470"/>
      <c r="IF13" s="470"/>
      <c r="IG13" s="470"/>
      <c r="IH13" s="470"/>
      <c r="II13" s="470"/>
      <c r="IJ13" s="470"/>
      <c r="IK13" s="470"/>
      <c r="IL13" s="470"/>
      <c r="IM13" s="470"/>
      <c r="IN13" s="470"/>
      <c r="IO13" s="470"/>
      <c r="IP13" s="470"/>
      <c r="IQ13" s="470"/>
      <c r="IR13" s="470"/>
      <c r="IS13" s="470"/>
      <c r="IT13" s="470"/>
      <c r="IU13" s="470"/>
      <c r="IV13" s="470"/>
    </row>
    <row r="14" spans="1:256">
      <c r="A14" s="488" t="s">
        <v>996</v>
      </c>
      <c r="B14" s="486"/>
      <c r="C14" s="486"/>
      <c r="D14" s="486"/>
      <c r="E14" s="486"/>
      <c r="F14" s="486"/>
      <c r="G14" s="486"/>
      <c r="H14" s="487"/>
      <c r="I14" s="487"/>
      <c r="O14" s="470"/>
      <c r="P14" s="470"/>
      <c r="Q14" s="470"/>
      <c r="R14" s="470"/>
      <c r="S14" s="470"/>
      <c r="T14" s="470"/>
      <c r="U14" s="470"/>
      <c r="V14" s="470"/>
      <c r="W14" s="470"/>
      <c r="X14" s="470"/>
      <c r="Y14" s="470"/>
      <c r="Z14" s="470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70"/>
      <c r="DF14" s="470"/>
      <c r="DG14" s="470"/>
      <c r="DH14" s="470"/>
      <c r="DI14" s="470"/>
      <c r="DJ14" s="470"/>
      <c r="DK14" s="470"/>
      <c r="DL14" s="470"/>
      <c r="DM14" s="470"/>
      <c r="DN14" s="470"/>
      <c r="DO14" s="470"/>
      <c r="DP14" s="470"/>
      <c r="DQ14" s="470"/>
      <c r="DR14" s="470"/>
      <c r="DS14" s="470"/>
      <c r="DT14" s="470"/>
      <c r="DU14" s="470"/>
      <c r="DV14" s="470"/>
      <c r="DW14" s="470"/>
      <c r="DX14" s="470"/>
      <c r="DY14" s="470"/>
      <c r="DZ14" s="470"/>
      <c r="EA14" s="470"/>
      <c r="EB14" s="470"/>
      <c r="EC14" s="470"/>
      <c r="ED14" s="470"/>
      <c r="EE14" s="470"/>
      <c r="EF14" s="470"/>
      <c r="EG14" s="470"/>
      <c r="EH14" s="470"/>
      <c r="EI14" s="470"/>
      <c r="EJ14" s="470"/>
      <c r="EK14" s="470"/>
      <c r="EL14" s="470"/>
      <c r="EM14" s="470"/>
      <c r="EN14" s="470"/>
      <c r="EO14" s="470"/>
      <c r="EP14" s="470"/>
      <c r="EQ14" s="470"/>
      <c r="ER14" s="470"/>
      <c r="ES14" s="470"/>
      <c r="ET14" s="470"/>
      <c r="EU14" s="470"/>
      <c r="EV14" s="470"/>
      <c r="EW14" s="470"/>
      <c r="EX14" s="470"/>
      <c r="EY14" s="470"/>
      <c r="EZ14" s="470"/>
      <c r="FA14" s="470"/>
      <c r="FB14" s="470"/>
      <c r="FC14" s="470"/>
      <c r="FD14" s="470"/>
      <c r="FE14" s="470"/>
      <c r="FF14" s="470"/>
      <c r="FG14" s="470"/>
      <c r="FH14" s="470"/>
      <c r="FI14" s="470"/>
      <c r="FJ14" s="470"/>
      <c r="FK14" s="470"/>
      <c r="FL14" s="470"/>
      <c r="FM14" s="470"/>
      <c r="FN14" s="470"/>
      <c r="FO14" s="470"/>
      <c r="FP14" s="470"/>
      <c r="FQ14" s="470"/>
      <c r="FR14" s="470"/>
      <c r="FS14" s="470"/>
      <c r="FT14" s="470"/>
      <c r="FU14" s="470"/>
      <c r="FV14" s="470"/>
      <c r="FW14" s="470"/>
      <c r="FX14" s="470"/>
      <c r="FY14" s="470"/>
      <c r="FZ14" s="470"/>
      <c r="GA14" s="470"/>
      <c r="GB14" s="470"/>
      <c r="GC14" s="470"/>
      <c r="GD14" s="470"/>
      <c r="GE14" s="470"/>
      <c r="GF14" s="470"/>
      <c r="GG14" s="470"/>
      <c r="GH14" s="470"/>
      <c r="GI14" s="470"/>
      <c r="GJ14" s="470"/>
      <c r="GK14" s="470"/>
      <c r="GL14" s="470"/>
      <c r="GM14" s="470"/>
      <c r="GN14" s="470"/>
      <c r="GO14" s="470"/>
      <c r="GP14" s="470"/>
      <c r="GQ14" s="470"/>
      <c r="GR14" s="470"/>
      <c r="GS14" s="470"/>
      <c r="GT14" s="470"/>
      <c r="GU14" s="470"/>
      <c r="GV14" s="470"/>
      <c r="GW14" s="470"/>
      <c r="GX14" s="470"/>
      <c r="GY14" s="470"/>
      <c r="GZ14" s="470"/>
      <c r="HA14" s="470"/>
      <c r="HB14" s="470"/>
      <c r="HC14" s="470"/>
      <c r="HD14" s="470"/>
      <c r="HE14" s="470"/>
      <c r="HF14" s="470"/>
      <c r="HG14" s="470"/>
      <c r="HH14" s="470"/>
      <c r="HI14" s="470"/>
      <c r="HJ14" s="470"/>
      <c r="HK14" s="470"/>
      <c r="HL14" s="470"/>
      <c r="HM14" s="470"/>
      <c r="HN14" s="470"/>
      <c r="HO14" s="470"/>
      <c r="HP14" s="470"/>
      <c r="HQ14" s="470"/>
      <c r="HR14" s="470"/>
      <c r="HS14" s="470"/>
      <c r="HT14" s="470"/>
      <c r="HU14" s="470"/>
      <c r="HV14" s="470"/>
      <c r="HW14" s="470"/>
      <c r="HX14" s="470"/>
      <c r="HY14" s="470"/>
      <c r="HZ14" s="470"/>
      <c r="IA14" s="470"/>
      <c r="IB14" s="470"/>
      <c r="IC14" s="470"/>
      <c r="ID14" s="470"/>
      <c r="IE14" s="470"/>
      <c r="IF14" s="470"/>
      <c r="IG14" s="470"/>
      <c r="IH14" s="470"/>
      <c r="II14" s="470"/>
      <c r="IJ14" s="470"/>
      <c r="IK14" s="470"/>
      <c r="IL14" s="470"/>
      <c r="IM14" s="470"/>
      <c r="IN14" s="470"/>
      <c r="IO14" s="470"/>
      <c r="IP14" s="470"/>
      <c r="IQ14" s="470"/>
      <c r="IR14" s="470"/>
      <c r="IS14" s="470"/>
      <c r="IT14" s="470"/>
      <c r="IU14" s="470"/>
      <c r="IV14" s="470"/>
    </row>
    <row r="15" spans="1:256">
      <c r="A15" s="488" t="s">
        <v>735</v>
      </c>
      <c r="B15" s="486"/>
      <c r="C15" s="486"/>
      <c r="D15" s="486"/>
      <c r="E15" s="486"/>
      <c r="F15" s="486"/>
      <c r="G15" s="486"/>
      <c r="H15" s="487"/>
      <c r="I15" s="487"/>
      <c r="O15" s="470"/>
      <c r="P15" s="470"/>
      <c r="Q15" s="470"/>
      <c r="R15" s="470"/>
      <c r="S15" s="470"/>
      <c r="T15" s="470"/>
      <c r="U15" s="470"/>
      <c r="V15" s="470"/>
      <c r="W15" s="470"/>
      <c r="X15" s="470"/>
      <c r="Y15" s="470"/>
      <c r="Z15" s="470"/>
      <c r="AA15" s="470"/>
      <c r="AB15" s="470"/>
      <c r="AC15" s="470"/>
      <c r="AD15" s="470"/>
      <c r="AE15" s="470"/>
      <c r="AF15" s="470"/>
      <c r="AG15" s="470"/>
      <c r="AH15" s="470"/>
      <c r="AI15" s="470"/>
      <c r="AJ15" s="470"/>
      <c r="AK15" s="470"/>
      <c r="AL15" s="470"/>
      <c r="AM15" s="470"/>
      <c r="AN15" s="470"/>
      <c r="AO15" s="470"/>
      <c r="AP15" s="470"/>
      <c r="AQ15" s="470"/>
      <c r="AR15" s="470"/>
      <c r="AS15" s="470"/>
      <c r="AT15" s="470"/>
      <c r="AU15" s="470"/>
      <c r="AV15" s="470"/>
      <c r="AW15" s="470"/>
      <c r="AX15" s="470"/>
      <c r="AY15" s="470"/>
      <c r="AZ15" s="470"/>
      <c r="BA15" s="470"/>
      <c r="BB15" s="470"/>
      <c r="BC15" s="470"/>
      <c r="BD15" s="470"/>
      <c r="BE15" s="470"/>
      <c r="BF15" s="470"/>
      <c r="BG15" s="470"/>
      <c r="BH15" s="470"/>
      <c r="BI15" s="470"/>
      <c r="BJ15" s="470"/>
      <c r="BK15" s="470"/>
      <c r="BL15" s="470"/>
      <c r="BM15" s="470"/>
      <c r="BN15" s="470"/>
      <c r="BO15" s="470"/>
      <c r="BP15" s="470"/>
      <c r="BQ15" s="470"/>
      <c r="BR15" s="470"/>
      <c r="BS15" s="470"/>
      <c r="BT15" s="470"/>
      <c r="BU15" s="470"/>
      <c r="BV15" s="470"/>
      <c r="BW15" s="470"/>
      <c r="BX15" s="470"/>
      <c r="BY15" s="470"/>
      <c r="BZ15" s="470"/>
      <c r="CA15" s="470"/>
      <c r="CB15" s="470"/>
      <c r="CC15" s="470"/>
      <c r="CD15" s="470"/>
      <c r="CE15" s="470"/>
      <c r="CF15" s="470"/>
      <c r="CG15" s="470"/>
      <c r="CH15" s="470"/>
      <c r="CI15" s="470"/>
      <c r="CJ15" s="470"/>
      <c r="CK15" s="470"/>
      <c r="CL15" s="470"/>
      <c r="CM15" s="470"/>
      <c r="CN15" s="470"/>
      <c r="CO15" s="470"/>
      <c r="CP15" s="470"/>
      <c r="CQ15" s="470"/>
      <c r="CR15" s="470"/>
      <c r="CS15" s="470"/>
      <c r="CT15" s="470"/>
      <c r="CU15" s="470"/>
      <c r="CV15" s="470"/>
      <c r="CW15" s="470"/>
      <c r="CX15" s="470"/>
      <c r="CY15" s="470"/>
      <c r="CZ15" s="470"/>
      <c r="DA15" s="470"/>
      <c r="DB15" s="470"/>
      <c r="DC15" s="470"/>
      <c r="DD15" s="470"/>
      <c r="DE15" s="470"/>
      <c r="DF15" s="470"/>
      <c r="DG15" s="470"/>
      <c r="DH15" s="470"/>
      <c r="DI15" s="470"/>
      <c r="DJ15" s="470"/>
      <c r="DK15" s="470"/>
      <c r="DL15" s="470"/>
      <c r="DM15" s="470"/>
      <c r="DN15" s="470"/>
      <c r="DO15" s="470"/>
      <c r="DP15" s="470"/>
      <c r="DQ15" s="470"/>
      <c r="DR15" s="470"/>
      <c r="DS15" s="470"/>
      <c r="DT15" s="470"/>
      <c r="DU15" s="470"/>
      <c r="DV15" s="470"/>
      <c r="DW15" s="470"/>
      <c r="DX15" s="470"/>
      <c r="DY15" s="470"/>
      <c r="DZ15" s="470"/>
      <c r="EA15" s="470"/>
      <c r="EB15" s="470"/>
      <c r="EC15" s="470"/>
      <c r="ED15" s="470"/>
      <c r="EE15" s="470"/>
      <c r="EF15" s="470"/>
      <c r="EG15" s="470"/>
      <c r="EH15" s="470"/>
      <c r="EI15" s="470"/>
      <c r="EJ15" s="470"/>
      <c r="EK15" s="470"/>
      <c r="EL15" s="470"/>
      <c r="EM15" s="470"/>
      <c r="EN15" s="470"/>
      <c r="EO15" s="470"/>
      <c r="EP15" s="470"/>
      <c r="EQ15" s="470"/>
      <c r="ER15" s="470"/>
      <c r="ES15" s="470"/>
      <c r="ET15" s="470"/>
      <c r="EU15" s="470"/>
      <c r="EV15" s="470"/>
      <c r="EW15" s="470"/>
      <c r="EX15" s="470"/>
      <c r="EY15" s="470"/>
      <c r="EZ15" s="470"/>
      <c r="FA15" s="470"/>
      <c r="FB15" s="470"/>
      <c r="FC15" s="470"/>
      <c r="FD15" s="470"/>
      <c r="FE15" s="470"/>
      <c r="FF15" s="470"/>
      <c r="FG15" s="470"/>
      <c r="FH15" s="470"/>
      <c r="FI15" s="470"/>
      <c r="FJ15" s="470"/>
      <c r="FK15" s="470"/>
      <c r="FL15" s="470"/>
      <c r="FM15" s="470"/>
      <c r="FN15" s="470"/>
      <c r="FO15" s="470"/>
      <c r="FP15" s="470"/>
      <c r="FQ15" s="470"/>
      <c r="FR15" s="470"/>
      <c r="FS15" s="470"/>
      <c r="FT15" s="470"/>
      <c r="FU15" s="470"/>
      <c r="FV15" s="470"/>
      <c r="FW15" s="470"/>
      <c r="FX15" s="470"/>
      <c r="FY15" s="470"/>
      <c r="FZ15" s="470"/>
      <c r="GA15" s="470"/>
      <c r="GB15" s="470"/>
      <c r="GC15" s="470"/>
      <c r="GD15" s="470"/>
      <c r="GE15" s="470"/>
      <c r="GF15" s="470"/>
      <c r="GG15" s="470"/>
      <c r="GH15" s="470"/>
      <c r="GI15" s="470"/>
      <c r="GJ15" s="470"/>
      <c r="GK15" s="470"/>
      <c r="GL15" s="470"/>
      <c r="GM15" s="470"/>
      <c r="GN15" s="470"/>
      <c r="GO15" s="470"/>
      <c r="GP15" s="470"/>
      <c r="GQ15" s="470"/>
      <c r="GR15" s="470"/>
      <c r="GS15" s="470"/>
      <c r="GT15" s="470"/>
      <c r="GU15" s="470"/>
      <c r="GV15" s="470"/>
      <c r="GW15" s="470"/>
      <c r="GX15" s="470"/>
      <c r="GY15" s="470"/>
      <c r="GZ15" s="470"/>
      <c r="HA15" s="470"/>
      <c r="HB15" s="470"/>
      <c r="HC15" s="470"/>
      <c r="HD15" s="470"/>
      <c r="HE15" s="470"/>
      <c r="HF15" s="470"/>
      <c r="HG15" s="470"/>
      <c r="HH15" s="470"/>
      <c r="HI15" s="470"/>
      <c r="HJ15" s="470"/>
      <c r="HK15" s="470"/>
      <c r="HL15" s="470"/>
      <c r="HM15" s="470"/>
      <c r="HN15" s="470"/>
      <c r="HO15" s="470"/>
      <c r="HP15" s="470"/>
      <c r="HQ15" s="470"/>
      <c r="HR15" s="470"/>
      <c r="HS15" s="470"/>
      <c r="HT15" s="470"/>
      <c r="HU15" s="470"/>
      <c r="HV15" s="470"/>
      <c r="HW15" s="470"/>
      <c r="HX15" s="470"/>
      <c r="HY15" s="470"/>
      <c r="HZ15" s="470"/>
      <c r="IA15" s="470"/>
      <c r="IB15" s="470"/>
      <c r="IC15" s="470"/>
      <c r="ID15" s="470"/>
      <c r="IE15" s="470"/>
      <c r="IF15" s="470"/>
      <c r="IG15" s="470"/>
      <c r="IH15" s="470"/>
      <c r="II15" s="470"/>
      <c r="IJ15" s="470"/>
      <c r="IK15" s="470"/>
      <c r="IL15" s="470"/>
      <c r="IM15" s="470"/>
      <c r="IN15" s="470"/>
      <c r="IO15" s="470"/>
      <c r="IP15" s="470"/>
      <c r="IQ15" s="470"/>
      <c r="IR15" s="470"/>
      <c r="IS15" s="470"/>
      <c r="IT15" s="470"/>
      <c r="IU15" s="470"/>
      <c r="IV15" s="470"/>
    </row>
    <row r="16" spans="1:256">
      <c r="A16" s="488" t="s">
        <v>736</v>
      </c>
      <c r="B16" s="486"/>
      <c r="C16" s="486"/>
      <c r="D16" s="486"/>
      <c r="E16" s="486"/>
      <c r="F16" s="486"/>
      <c r="G16" s="486"/>
      <c r="H16" s="487"/>
      <c r="I16" s="487"/>
      <c r="O16" s="470"/>
      <c r="P16" s="470"/>
      <c r="Q16" s="470"/>
      <c r="R16" s="470"/>
      <c r="S16" s="470"/>
      <c r="T16" s="470"/>
      <c r="U16" s="470"/>
      <c r="V16" s="470"/>
      <c r="W16" s="470"/>
      <c r="X16" s="470"/>
      <c r="Y16" s="470"/>
      <c r="Z16" s="470"/>
      <c r="AA16" s="470"/>
      <c r="AB16" s="470"/>
      <c r="AC16" s="470"/>
      <c r="AD16" s="470"/>
      <c r="AE16" s="470"/>
      <c r="AF16" s="470"/>
      <c r="AG16" s="470"/>
      <c r="AH16" s="470"/>
      <c r="AI16" s="470"/>
      <c r="AJ16" s="470"/>
      <c r="AK16" s="470"/>
      <c r="AL16" s="470"/>
      <c r="AM16" s="470"/>
      <c r="AN16" s="470"/>
      <c r="AO16" s="470"/>
      <c r="AP16" s="470"/>
      <c r="AQ16" s="470"/>
      <c r="AR16" s="470"/>
      <c r="AS16" s="470"/>
      <c r="AT16" s="470"/>
      <c r="AU16" s="470"/>
      <c r="AV16" s="470"/>
      <c r="AW16" s="470"/>
      <c r="AX16" s="470"/>
      <c r="AY16" s="470"/>
      <c r="AZ16" s="470"/>
      <c r="BA16" s="470"/>
      <c r="BB16" s="470"/>
      <c r="BC16" s="470"/>
      <c r="BD16" s="470"/>
      <c r="BE16" s="470"/>
      <c r="BF16" s="470"/>
      <c r="BG16" s="470"/>
      <c r="BH16" s="470"/>
      <c r="BI16" s="470"/>
      <c r="BJ16" s="470"/>
      <c r="BK16" s="470"/>
      <c r="BL16" s="470"/>
      <c r="BM16" s="470"/>
      <c r="BN16" s="470"/>
      <c r="BO16" s="470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  <c r="CA16" s="470"/>
      <c r="CB16" s="470"/>
      <c r="CC16" s="470"/>
      <c r="CD16" s="470"/>
      <c r="CE16" s="470"/>
      <c r="CF16" s="470"/>
      <c r="CG16" s="470"/>
      <c r="CH16" s="470"/>
      <c r="CI16" s="470"/>
      <c r="CJ16" s="470"/>
      <c r="CK16" s="470"/>
      <c r="CL16" s="470"/>
      <c r="CM16" s="470"/>
      <c r="CN16" s="470"/>
      <c r="CO16" s="470"/>
      <c r="CP16" s="470"/>
      <c r="CQ16" s="470"/>
      <c r="CR16" s="470"/>
      <c r="CS16" s="470"/>
      <c r="CT16" s="470"/>
      <c r="CU16" s="470"/>
      <c r="CV16" s="470"/>
      <c r="CW16" s="470"/>
      <c r="CX16" s="470"/>
      <c r="CY16" s="470"/>
      <c r="CZ16" s="470"/>
      <c r="DA16" s="470"/>
      <c r="DB16" s="470"/>
      <c r="DC16" s="470"/>
      <c r="DD16" s="470"/>
      <c r="DE16" s="470"/>
      <c r="DF16" s="470"/>
      <c r="DG16" s="470"/>
      <c r="DH16" s="470"/>
      <c r="DI16" s="470"/>
      <c r="DJ16" s="470"/>
      <c r="DK16" s="470"/>
      <c r="DL16" s="470"/>
      <c r="DM16" s="470"/>
      <c r="DN16" s="470"/>
      <c r="DO16" s="470"/>
      <c r="DP16" s="470"/>
      <c r="DQ16" s="470"/>
      <c r="DR16" s="470"/>
      <c r="DS16" s="470"/>
      <c r="DT16" s="470"/>
      <c r="DU16" s="470"/>
      <c r="DV16" s="470"/>
      <c r="DW16" s="470"/>
      <c r="DX16" s="470"/>
      <c r="DY16" s="470"/>
      <c r="DZ16" s="470"/>
      <c r="EA16" s="470"/>
      <c r="EB16" s="470"/>
      <c r="EC16" s="470"/>
      <c r="ED16" s="470"/>
      <c r="EE16" s="470"/>
      <c r="EF16" s="470"/>
      <c r="EG16" s="470"/>
      <c r="EH16" s="470"/>
      <c r="EI16" s="470"/>
      <c r="EJ16" s="470"/>
      <c r="EK16" s="470"/>
      <c r="EL16" s="470"/>
      <c r="EM16" s="470"/>
      <c r="EN16" s="470"/>
      <c r="EO16" s="470"/>
      <c r="EP16" s="470"/>
      <c r="EQ16" s="470"/>
      <c r="ER16" s="470"/>
      <c r="ES16" s="470"/>
      <c r="ET16" s="470"/>
      <c r="EU16" s="470"/>
      <c r="EV16" s="470"/>
      <c r="EW16" s="470"/>
      <c r="EX16" s="470"/>
      <c r="EY16" s="470"/>
      <c r="EZ16" s="470"/>
      <c r="FA16" s="470"/>
      <c r="FB16" s="470"/>
      <c r="FC16" s="470"/>
      <c r="FD16" s="470"/>
      <c r="FE16" s="470"/>
      <c r="FF16" s="470"/>
      <c r="FG16" s="470"/>
      <c r="FH16" s="470"/>
      <c r="FI16" s="470"/>
      <c r="FJ16" s="470"/>
      <c r="FK16" s="470"/>
      <c r="FL16" s="470"/>
      <c r="FM16" s="470"/>
      <c r="FN16" s="470"/>
      <c r="FO16" s="470"/>
      <c r="FP16" s="470"/>
      <c r="FQ16" s="470"/>
      <c r="FR16" s="470"/>
      <c r="FS16" s="470"/>
      <c r="FT16" s="470"/>
      <c r="FU16" s="470"/>
      <c r="FV16" s="470"/>
      <c r="FW16" s="470"/>
      <c r="FX16" s="470"/>
      <c r="FY16" s="470"/>
      <c r="FZ16" s="470"/>
      <c r="GA16" s="470"/>
      <c r="GB16" s="470"/>
      <c r="GC16" s="470"/>
      <c r="GD16" s="470"/>
      <c r="GE16" s="470"/>
      <c r="GF16" s="470"/>
      <c r="GG16" s="470"/>
      <c r="GH16" s="470"/>
      <c r="GI16" s="470"/>
      <c r="GJ16" s="470"/>
      <c r="GK16" s="470"/>
      <c r="GL16" s="470"/>
      <c r="GM16" s="470"/>
      <c r="GN16" s="470"/>
      <c r="GO16" s="470"/>
      <c r="GP16" s="470"/>
      <c r="GQ16" s="470"/>
      <c r="GR16" s="470"/>
      <c r="GS16" s="470"/>
      <c r="GT16" s="470"/>
      <c r="GU16" s="470"/>
      <c r="GV16" s="470"/>
      <c r="GW16" s="470"/>
      <c r="GX16" s="470"/>
      <c r="GY16" s="470"/>
      <c r="GZ16" s="470"/>
      <c r="HA16" s="470"/>
      <c r="HB16" s="470"/>
      <c r="HC16" s="470"/>
      <c r="HD16" s="470"/>
      <c r="HE16" s="470"/>
      <c r="HF16" s="470"/>
      <c r="HG16" s="470"/>
      <c r="HH16" s="470"/>
      <c r="HI16" s="470"/>
      <c r="HJ16" s="470"/>
      <c r="HK16" s="470"/>
      <c r="HL16" s="470"/>
      <c r="HM16" s="470"/>
      <c r="HN16" s="470"/>
      <c r="HO16" s="470"/>
      <c r="HP16" s="470"/>
      <c r="HQ16" s="470"/>
      <c r="HR16" s="470"/>
      <c r="HS16" s="470"/>
      <c r="HT16" s="470"/>
      <c r="HU16" s="470"/>
      <c r="HV16" s="470"/>
      <c r="HW16" s="470"/>
      <c r="HX16" s="470"/>
      <c r="HY16" s="470"/>
      <c r="HZ16" s="470"/>
      <c r="IA16" s="470"/>
      <c r="IB16" s="470"/>
      <c r="IC16" s="470"/>
      <c r="ID16" s="470"/>
      <c r="IE16" s="470"/>
      <c r="IF16" s="470"/>
      <c r="IG16" s="470"/>
      <c r="IH16" s="470"/>
      <c r="II16" s="470"/>
      <c r="IJ16" s="470"/>
      <c r="IK16" s="470"/>
      <c r="IL16" s="470"/>
      <c r="IM16" s="470"/>
      <c r="IN16" s="470"/>
      <c r="IO16" s="470"/>
      <c r="IP16" s="470"/>
      <c r="IQ16" s="470"/>
      <c r="IR16" s="470"/>
      <c r="IS16" s="470"/>
      <c r="IT16" s="470"/>
      <c r="IU16" s="470"/>
      <c r="IV16" s="470"/>
    </row>
    <row r="17" spans="1:256">
      <c r="A17" s="488" t="s">
        <v>737</v>
      </c>
      <c r="B17" s="486"/>
      <c r="C17" s="486"/>
      <c r="D17" s="486"/>
      <c r="E17" s="486"/>
      <c r="F17" s="486"/>
      <c r="G17" s="486"/>
      <c r="H17" s="487"/>
      <c r="I17" s="487"/>
      <c r="O17" s="470"/>
      <c r="P17" s="470"/>
      <c r="Q17" s="470"/>
      <c r="R17" s="470"/>
      <c r="S17" s="470"/>
      <c r="T17" s="470"/>
      <c r="U17" s="470"/>
      <c r="V17" s="470"/>
      <c r="W17" s="470"/>
      <c r="X17" s="470"/>
      <c r="Y17" s="470"/>
      <c r="Z17" s="470"/>
      <c r="AA17" s="470"/>
      <c r="AB17" s="470"/>
      <c r="AC17" s="470"/>
      <c r="AD17" s="470"/>
      <c r="AE17" s="470"/>
      <c r="AF17" s="470"/>
      <c r="AG17" s="470"/>
      <c r="AH17" s="470"/>
      <c r="AI17" s="470"/>
      <c r="AJ17" s="470"/>
      <c r="AK17" s="470"/>
      <c r="AL17" s="470"/>
      <c r="AM17" s="470"/>
      <c r="AN17" s="470"/>
      <c r="AO17" s="470"/>
      <c r="AP17" s="470"/>
      <c r="AQ17" s="470"/>
      <c r="AR17" s="470"/>
      <c r="AS17" s="470"/>
      <c r="AT17" s="470"/>
      <c r="AU17" s="470"/>
      <c r="AV17" s="470"/>
      <c r="AW17" s="470"/>
      <c r="AX17" s="470"/>
      <c r="AY17" s="470"/>
      <c r="AZ17" s="470"/>
      <c r="BA17" s="470"/>
      <c r="BB17" s="470"/>
      <c r="BC17" s="470"/>
      <c r="BD17" s="470"/>
      <c r="BE17" s="470"/>
      <c r="BF17" s="470"/>
      <c r="BG17" s="470"/>
      <c r="BH17" s="470"/>
      <c r="BI17" s="470"/>
      <c r="BJ17" s="470"/>
      <c r="BK17" s="470"/>
      <c r="BL17" s="470"/>
      <c r="BM17" s="470"/>
      <c r="BN17" s="470"/>
      <c r="BO17" s="470"/>
      <c r="BP17" s="470"/>
      <c r="BQ17" s="470"/>
      <c r="BR17" s="470"/>
      <c r="BS17" s="470"/>
      <c r="BT17" s="470"/>
      <c r="BU17" s="470"/>
      <c r="BV17" s="470"/>
      <c r="BW17" s="470"/>
      <c r="BX17" s="470"/>
      <c r="BY17" s="470"/>
      <c r="BZ17" s="470"/>
      <c r="CA17" s="470"/>
      <c r="CB17" s="470"/>
      <c r="CC17" s="470"/>
      <c r="CD17" s="470"/>
      <c r="CE17" s="470"/>
      <c r="CF17" s="470"/>
      <c r="CG17" s="470"/>
      <c r="CH17" s="470"/>
      <c r="CI17" s="470"/>
      <c r="CJ17" s="470"/>
      <c r="CK17" s="470"/>
      <c r="CL17" s="470"/>
      <c r="CM17" s="470"/>
      <c r="CN17" s="470"/>
      <c r="CO17" s="470"/>
      <c r="CP17" s="470"/>
      <c r="CQ17" s="470"/>
      <c r="CR17" s="470"/>
      <c r="CS17" s="470"/>
      <c r="CT17" s="470"/>
      <c r="CU17" s="470"/>
      <c r="CV17" s="470"/>
      <c r="CW17" s="470"/>
      <c r="CX17" s="470"/>
      <c r="CY17" s="470"/>
      <c r="CZ17" s="470"/>
      <c r="DA17" s="470"/>
      <c r="DB17" s="470"/>
      <c r="DC17" s="470"/>
      <c r="DD17" s="470"/>
      <c r="DE17" s="470"/>
      <c r="DF17" s="470"/>
      <c r="DG17" s="470"/>
      <c r="DH17" s="470"/>
      <c r="DI17" s="470"/>
      <c r="DJ17" s="470"/>
      <c r="DK17" s="470"/>
      <c r="DL17" s="470"/>
      <c r="DM17" s="470"/>
      <c r="DN17" s="470"/>
      <c r="DO17" s="470"/>
      <c r="DP17" s="470"/>
      <c r="DQ17" s="470"/>
      <c r="DR17" s="470"/>
      <c r="DS17" s="470"/>
      <c r="DT17" s="470"/>
      <c r="DU17" s="470"/>
      <c r="DV17" s="470"/>
      <c r="DW17" s="470"/>
      <c r="DX17" s="470"/>
      <c r="DY17" s="470"/>
      <c r="DZ17" s="470"/>
      <c r="EA17" s="470"/>
      <c r="EB17" s="470"/>
      <c r="EC17" s="470"/>
      <c r="ED17" s="470"/>
      <c r="EE17" s="470"/>
      <c r="EF17" s="470"/>
      <c r="EG17" s="470"/>
      <c r="EH17" s="470"/>
      <c r="EI17" s="470"/>
      <c r="EJ17" s="470"/>
      <c r="EK17" s="470"/>
      <c r="EL17" s="470"/>
      <c r="EM17" s="470"/>
      <c r="EN17" s="470"/>
      <c r="EO17" s="470"/>
      <c r="EP17" s="470"/>
      <c r="EQ17" s="470"/>
      <c r="ER17" s="470"/>
      <c r="ES17" s="470"/>
      <c r="ET17" s="470"/>
      <c r="EU17" s="470"/>
      <c r="EV17" s="470"/>
      <c r="EW17" s="470"/>
      <c r="EX17" s="470"/>
      <c r="EY17" s="470"/>
      <c r="EZ17" s="470"/>
      <c r="FA17" s="470"/>
      <c r="FB17" s="470"/>
      <c r="FC17" s="470"/>
      <c r="FD17" s="470"/>
      <c r="FE17" s="470"/>
      <c r="FF17" s="470"/>
      <c r="FG17" s="470"/>
      <c r="FH17" s="470"/>
      <c r="FI17" s="470"/>
      <c r="FJ17" s="470"/>
      <c r="FK17" s="470"/>
      <c r="FL17" s="470"/>
      <c r="FM17" s="470"/>
      <c r="FN17" s="470"/>
      <c r="FO17" s="470"/>
      <c r="FP17" s="470"/>
      <c r="FQ17" s="470"/>
      <c r="FR17" s="470"/>
      <c r="FS17" s="470"/>
      <c r="FT17" s="470"/>
      <c r="FU17" s="470"/>
      <c r="FV17" s="470"/>
      <c r="FW17" s="470"/>
      <c r="FX17" s="470"/>
      <c r="FY17" s="470"/>
      <c r="FZ17" s="470"/>
      <c r="GA17" s="470"/>
      <c r="GB17" s="470"/>
      <c r="GC17" s="470"/>
      <c r="GD17" s="470"/>
      <c r="GE17" s="470"/>
      <c r="GF17" s="470"/>
      <c r="GG17" s="470"/>
      <c r="GH17" s="470"/>
      <c r="GI17" s="470"/>
      <c r="GJ17" s="470"/>
      <c r="GK17" s="470"/>
      <c r="GL17" s="470"/>
      <c r="GM17" s="470"/>
      <c r="GN17" s="470"/>
      <c r="GO17" s="470"/>
      <c r="GP17" s="470"/>
      <c r="GQ17" s="470"/>
      <c r="GR17" s="470"/>
      <c r="GS17" s="470"/>
      <c r="GT17" s="470"/>
      <c r="GU17" s="470"/>
      <c r="GV17" s="470"/>
      <c r="GW17" s="470"/>
      <c r="GX17" s="470"/>
      <c r="GY17" s="470"/>
      <c r="GZ17" s="470"/>
      <c r="HA17" s="470"/>
      <c r="HB17" s="470"/>
      <c r="HC17" s="470"/>
      <c r="HD17" s="470"/>
      <c r="HE17" s="470"/>
      <c r="HF17" s="470"/>
      <c r="HG17" s="470"/>
      <c r="HH17" s="470"/>
      <c r="HI17" s="470"/>
      <c r="HJ17" s="470"/>
      <c r="HK17" s="470"/>
      <c r="HL17" s="470"/>
      <c r="HM17" s="470"/>
      <c r="HN17" s="470"/>
      <c r="HO17" s="470"/>
      <c r="HP17" s="470"/>
      <c r="HQ17" s="470"/>
      <c r="HR17" s="470"/>
      <c r="HS17" s="470"/>
      <c r="HT17" s="470"/>
      <c r="HU17" s="470"/>
      <c r="HV17" s="470"/>
      <c r="HW17" s="470"/>
      <c r="HX17" s="470"/>
      <c r="HY17" s="470"/>
      <c r="HZ17" s="470"/>
      <c r="IA17" s="470"/>
      <c r="IB17" s="470"/>
      <c r="IC17" s="470"/>
      <c r="ID17" s="470"/>
      <c r="IE17" s="470"/>
      <c r="IF17" s="470"/>
      <c r="IG17" s="470"/>
      <c r="IH17" s="470"/>
      <c r="II17" s="470"/>
      <c r="IJ17" s="470"/>
      <c r="IK17" s="470"/>
      <c r="IL17" s="470"/>
      <c r="IM17" s="470"/>
      <c r="IN17" s="470"/>
      <c r="IO17" s="470"/>
      <c r="IP17" s="470"/>
      <c r="IQ17" s="470"/>
      <c r="IR17" s="470"/>
      <c r="IS17" s="470"/>
      <c r="IT17" s="470"/>
      <c r="IU17" s="470"/>
      <c r="IV17" s="470"/>
    </row>
    <row r="18" spans="1:256">
      <c r="A18" s="488" t="s">
        <v>738</v>
      </c>
      <c r="B18" s="486"/>
      <c r="C18" s="486"/>
      <c r="D18" s="486"/>
      <c r="E18" s="486"/>
      <c r="F18" s="486"/>
      <c r="G18" s="486"/>
      <c r="H18" s="487"/>
      <c r="I18" s="487"/>
      <c r="O18" s="470"/>
      <c r="P18" s="470"/>
      <c r="Q18" s="470"/>
      <c r="R18" s="470"/>
      <c r="S18" s="470"/>
      <c r="T18" s="470"/>
      <c r="U18" s="470"/>
      <c r="V18" s="470"/>
      <c r="W18" s="470"/>
      <c r="X18" s="470"/>
      <c r="Y18" s="470"/>
      <c r="Z18" s="470"/>
      <c r="AA18" s="470"/>
      <c r="AB18" s="470"/>
      <c r="AC18" s="470"/>
      <c r="AD18" s="470"/>
      <c r="AE18" s="470"/>
      <c r="AF18" s="470"/>
      <c r="AG18" s="470"/>
      <c r="AH18" s="470"/>
      <c r="AI18" s="470"/>
      <c r="AJ18" s="470"/>
      <c r="AK18" s="470"/>
      <c r="AL18" s="470"/>
      <c r="AM18" s="470"/>
      <c r="AN18" s="470"/>
      <c r="AO18" s="470"/>
      <c r="AP18" s="470"/>
      <c r="AQ18" s="470"/>
      <c r="AR18" s="470"/>
      <c r="AS18" s="470"/>
      <c r="AT18" s="470"/>
      <c r="AU18" s="470"/>
      <c r="AV18" s="470"/>
      <c r="AW18" s="470"/>
      <c r="AX18" s="470"/>
      <c r="AY18" s="470"/>
      <c r="AZ18" s="470"/>
      <c r="BA18" s="470"/>
      <c r="BB18" s="470"/>
      <c r="BC18" s="470"/>
      <c r="BD18" s="470"/>
      <c r="BE18" s="470"/>
      <c r="BF18" s="470"/>
      <c r="BG18" s="470"/>
      <c r="BH18" s="470"/>
      <c r="BI18" s="470"/>
      <c r="BJ18" s="470"/>
      <c r="BK18" s="470"/>
      <c r="BL18" s="470"/>
      <c r="BM18" s="470"/>
      <c r="BN18" s="470"/>
      <c r="BO18" s="470"/>
      <c r="BP18" s="470"/>
      <c r="BQ18" s="470"/>
      <c r="BR18" s="470"/>
      <c r="BS18" s="470"/>
      <c r="BT18" s="470"/>
      <c r="BU18" s="470"/>
      <c r="BV18" s="470"/>
      <c r="BW18" s="470"/>
      <c r="BX18" s="470"/>
      <c r="BY18" s="470"/>
      <c r="BZ18" s="470"/>
      <c r="CA18" s="470"/>
      <c r="CB18" s="470"/>
      <c r="CC18" s="470"/>
      <c r="CD18" s="470"/>
      <c r="CE18" s="470"/>
      <c r="CF18" s="470"/>
      <c r="CG18" s="470"/>
      <c r="CH18" s="470"/>
      <c r="CI18" s="470"/>
      <c r="CJ18" s="470"/>
      <c r="CK18" s="470"/>
      <c r="CL18" s="470"/>
      <c r="CM18" s="470"/>
      <c r="CN18" s="470"/>
      <c r="CO18" s="470"/>
      <c r="CP18" s="470"/>
      <c r="CQ18" s="470"/>
      <c r="CR18" s="470"/>
      <c r="CS18" s="470"/>
      <c r="CT18" s="470"/>
      <c r="CU18" s="470"/>
      <c r="CV18" s="470"/>
      <c r="CW18" s="470"/>
      <c r="CX18" s="470"/>
      <c r="CY18" s="470"/>
      <c r="CZ18" s="470"/>
      <c r="DA18" s="470"/>
      <c r="DB18" s="470"/>
      <c r="DC18" s="470"/>
      <c r="DD18" s="470"/>
      <c r="DE18" s="470"/>
      <c r="DF18" s="470"/>
      <c r="DG18" s="470"/>
      <c r="DH18" s="470"/>
      <c r="DI18" s="470"/>
      <c r="DJ18" s="470"/>
      <c r="DK18" s="470"/>
      <c r="DL18" s="470"/>
      <c r="DM18" s="470"/>
      <c r="DN18" s="470"/>
      <c r="DO18" s="470"/>
      <c r="DP18" s="470"/>
      <c r="DQ18" s="470"/>
      <c r="DR18" s="470"/>
      <c r="DS18" s="470"/>
      <c r="DT18" s="470"/>
      <c r="DU18" s="470"/>
      <c r="DV18" s="470"/>
      <c r="DW18" s="470"/>
      <c r="DX18" s="470"/>
      <c r="DY18" s="470"/>
      <c r="DZ18" s="470"/>
      <c r="EA18" s="470"/>
      <c r="EB18" s="470"/>
      <c r="EC18" s="470"/>
      <c r="ED18" s="470"/>
      <c r="EE18" s="470"/>
      <c r="EF18" s="470"/>
      <c r="EG18" s="470"/>
      <c r="EH18" s="470"/>
      <c r="EI18" s="470"/>
      <c r="EJ18" s="470"/>
      <c r="EK18" s="470"/>
      <c r="EL18" s="470"/>
      <c r="EM18" s="470"/>
      <c r="EN18" s="470"/>
      <c r="EO18" s="470"/>
      <c r="EP18" s="470"/>
      <c r="EQ18" s="470"/>
      <c r="ER18" s="470"/>
      <c r="ES18" s="470"/>
      <c r="ET18" s="470"/>
      <c r="EU18" s="470"/>
      <c r="EV18" s="470"/>
      <c r="EW18" s="470"/>
      <c r="EX18" s="470"/>
      <c r="EY18" s="470"/>
      <c r="EZ18" s="470"/>
      <c r="FA18" s="470"/>
      <c r="FB18" s="470"/>
      <c r="FC18" s="470"/>
      <c r="FD18" s="470"/>
      <c r="FE18" s="470"/>
      <c r="FF18" s="470"/>
      <c r="FG18" s="470"/>
      <c r="FH18" s="470"/>
      <c r="FI18" s="470"/>
      <c r="FJ18" s="470"/>
      <c r="FK18" s="470"/>
      <c r="FL18" s="470"/>
      <c r="FM18" s="470"/>
      <c r="FN18" s="470"/>
      <c r="FO18" s="470"/>
      <c r="FP18" s="470"/>
      <c r="FQ18" s="470"/>
      <c r="FR18" s="470"/>
      <c r="FS18" s="470"/>
      <c r="FT18" s="470"/>
      <c r="FU18" s="470"/>
      <c r="FV18" s="470"/>
      <c r="FW18" s="470"/>
      <c r="FX18" s="470"/>
      <c r="FY18" s="470"/>
      <c r="FZ18" s="470"/>
      <c r="GA18" s="470"/>
      <c r="GB18" s="470"/>
      <c r="GC18" s="470"/>
      <c r="GD18" s="470"/>
      <c r="GE18" s="470"/>
      <c r="GF18" s="470"/>
      <c r="GG18" s="470"/>
      <c r="GH18" s="470"/>
      <c r="GI18" s="470"/>
      <c r="GJ18" s="470"/>
      <c r="GK18" s="470"/>
      <c r="GL18" s="470"/>
      <c r="GM18" s="470"/>
      <c r="GN18" s="470"/>
      <c r="GO18" s="470"/>
      <c r="GP18" s="470"/>
      <c r="GQ18" s="470"/>
      <c r="GR18" s="470"/>
      <c r="GS18" s="470"/>
      <c r="GT18" s="470"/>
      <c r="GU18" s="470"/>
      <c r="GV18" s="470"/>
      <c r="GW18" s="470"/>
      <c r="GX18" s="470"/>
      <c r="GY18" s="470"/>
      <c r="GZ18" s="470"/>
      <c r="HA18" s="470"/>
      <c r="HB18" s="470"/>
      <c r="HC18" s="470"/>
      <c r="HD18" s="470"/>
      <c r="HE18" s="470"/>
      <c r="HF18" s="470"/>
      <c r="HG18" s="470"/>
      <c r="HH18" s="470"/>
      <c r="HI18" s="470"/>
      <c r="HJ18" s="470"/>
      <c r="HK18" s="470"/>
      <c r="HL18" s="470"/>
      <c r="HM18" s="470"/>
      <c r="HN18" s="470"/>
      <c r="HO18" s="470"/>
      <c r="HP18" s="470"/>
      <c r="HQ18" s="470"/>
      <c r="HR18" s="470"/>
      <c r="HS18" s="470"/>
      <c r="HT18" s="470"/>
      <c r="HU18" s="470"/>
      <c r="HV18" s="470"/>
      <c r="HW18" s="470"/>
      <c r="HX18" s="470"/>
      <c r="HY18" s="470"/>
      <c r="HZ18" s="470"/>
      <c r="IA18" s="470"/>
      <c r="IB18" s="470"/>
      <c r="IC18" s="470"/>
      <c r="ID18" s="470"/>
      <c r="IE18" s="470"/>
      <c r="IF18" s="470"/>
      <c r="IG18" s="470"/>
      <c r="IH18" s="470"/>
      <c r="II18" s="470"/>
      <c r="IJ18" s="470"/>
      <c r="IK18" s="470"/>
      <c r="IL18" s="470"/>
      <c r="IM18" s="470"/>
      <c r="IN18" s="470"/>
      <c r="IO18" s="470"/>
      <c r="IP18" s="470"/>
      <c r="IQ18" s="470"/>
      <c r="IR18" s="470"/>
      <c r="IS18" s="470"/>
      <c r="IT18" s="470"/>
      <c r="IU18" s="470"/>
      <c r="IV18" s="470"/>
    </row>
    <row r="19" spans="1:256">
      <c r="A19" s="488" t="s">
        <v>997</v>
      </c>
      <c r="B19" s="486"/>
      <c r="C19" s="486"/>
      <c r="D19" s="486"/>
      <c r="E19" s="486"/>
      <c r="F19" s="486"/>
      <c r="G19" s="486"/>
      <c r="H19" s="487"/>
      <c r="I19" s="487"/>
      <c r="O19" s="470"/>
      <c r="P19" s="470"/>
      <c r="Q19" s="470"/>
      <c r="R19" s="470"/>
      <c r="S19" s="470"/>
      <c r="T19" s="470"/>
      <c r="U19" s="470"/>
      <c r="V19" s="470"/>
      <c r="W19" s="470"/>
      <c r="X19" s="470"/>
      <c r="Y19" s="470"/>
      <c r="Z19" s="470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70"/>
      <c r="DF19" s="470"/>
      <c r="DG19" s="470"/>
      <c r="DH19" s="470"/>
      <c r="DI19" s="470"/>
      <c r="DJ19" s="470"/>
      <c r="DK19" s="470"/>
      <c r="DL19" s="470"/>
      <c r="DM19" s="470"/>
      <c r="DN19" s="470"/>
      <c r="DO19" s="470"/>
      <c r="DP19" s="470"/>
      <c r="DQ19" s="470"/>
      <c r="DR19" s="470"/>
      <c r="DS19" s="470"/>
      <c r="DT19" s="470"/>
      <c r="DU19" s="470"/>
      <c r="DV19" s="470"/>
      <c r="DW19" s="470"/>
      <c r="DX19" s="470"/>
      <c r="DY19" s="470"/>
      <c r="DZ19" s="470"/>
      <c r="EA19" s="470"/>
      <c r="EB19" s="470"/>
      <c r="EC19" s="470"/>
      <c r="ED19" s="470"/>
      <c r="EE19" s="470"/>
      <c r="EF19" s="470"/>
      <c r="EG19" s="470"/>
      <c r="EH19" s="470"/>
      <c r="EI19" s="470"/>
      <c r="EJ19" s="470"/>
      <c r="EK19" s="470"/>
      <c r="EL19" s="470"/>
      <c r="EM19" s="470"/>
      <c r="EN19" s="470"/>
      <c r="EO19" s="470"/>
      <c r="EP19" s="470"/>
      <c r="EQ19" s="470"/>
      <c r="ER19" s="470"/>
      <c r="ES19" s="470"/>
      <c r="ET19" s="470"/>
      <c r="EU19" s="470"/>
      <c r="EV19" s="470"/>
      <c r="EW19" s="470"/>
      <c r="EX19" s="470"/>
      <c r="EY19" s="470"/>
      <c r="EZ19" s="470"/>
      <c r="FA19" s="470"/>
      <c r="FB19" s="470"/>
      <c r="FC19" s="470"/>
      <c r="FD19" s="470"/>
      <c r="FE19" s="470"/>
      <c r="FF19" s="470"/>
      <c r="FG19" s="470"/>
      <c r="FH19" s="470"/>
      <c r="FI19" s="470"/>
      <c r="FJ19" s="470"/>
      <c r="FK19" s="470"/>
      <c r="FL19" s="470"/>
      <c r="FM19" s="470"/>
      <c r="FN19" s="470"/>
      <c r="FO19" s="470"/>
      <c r="FP19" s="470"/>
      <c r="FQ19" s="470"/>
      <c r="FR19" s="470"/>
      <c r="FS19" s="470"/>
      <c r="FT19" s="470"/>
      <c r="FU19" s="470"/>
      <c r="FV19" s="470"/>
      <c r="FW19" s="470"/>
      <c r="FX19" s="470"/>
      <c r="FY19" s="470"/>
      <c r="FZ19" s="470"/>
      <c r="GA19" s="470"/>
      <c r="GB19" s="470"/>
      <c r="GC19" s="470"/>
      <c r="GD19" s="470"/>
      <c r="GE19" s="470"/>
      <c r="GF19" s="470"/>
      <c r="GG19" s="470"/>
      <c r="GH19" s="470"/>
      <c r="GI19" s="470"/>
      <c r="GJ19" s="470"/>
      <c r="GK19" s="470"/>
      <c r="GL19" s="470"/>
      <c r="GM19" s="470"/>
      <c r="GN19" s="470"/>
      <c r="GO19" s="470"/>
      <c r="GP19" s="470"/>
      <c r="GQ19" s="470"/>
      <c r="GR19" s="470"/>
      <c r="GS19" s="470"/>
      <c r="GT19" s="470"/>
      <c r="GU19" s="470"/>
      <c r="GV19" s="470"/>
      <c r="GW19" s="470"/>
      <c r="GX19" s="470"/>
      <c r="GY19" s="470"/>
      <c r="GZ19" s="470"/>
      <c r="HA19" s="470"/>
      <c r="HB19" s="470"/>
      <c r="HC19" s="470"/>
      <c r="HD19" s="470"/>
      <c r="HE19" s="470"/>
      <c r="HF19" s="470"/>
      <c r="HG19" s="470"/>
      <c r="HH19" s="470"/>
      <c r="HI19" s="470"/>
      <c r="HJ19" s="470"/>
      <c r="HK19" s="470"/>
      <c r="HL19" s="470"/>
      <c r="HM19" s="470"/>
      <c r="HN19" s="470"/>
      <c r="HO19" s="470"/>
      <c r="HP19" s="470"/>
      <c r="HQ19" s="470"/>
      <c r="HR19" s="470"/>
      <c r="HS19" s="470"/>
      <c r="HT19" s="470"/>
      <c r="HU19" s="470"/>
      <c r="HV19" s="470"/>
      <c r="HW19" s="470"/>
      <c r="HX19" s="470"/>
      <c r="HY19" s="470"/>
      <c r="HZ19" s="470"/>
      <c r="IA19" s="470"/>
      <c r="IB19" s="470"/>
      <c r="IC19" s="470"/>
      <c r="ID19" s="470"/>
      <c r="IE19" s="470"/>
      <c r="IF19" s="470"/>
      <c r="IG19" s="470"/>
      <c r="IH19" s="470"/>
      <c r="II19" s="470"/>
      <c r="IJ19" s="470"/>
      <c r="IK19" s="470"/>
      <c r="IL19" s="470"/>
      <c r="IM19" s="470"/>
      <c r="IN19" s="470"/>
      <c r="IO19" s="470"/>
      <c r="IP19" s="470"/>
      <c r="IQ19" s="470"/>
      <c r="IR19" s="470"/>
      <c r="IS19" s="470"/>
      <c r="IT19" s="470"/>
      <c r="IU19" s="470"/>
      <c r="IV19" s="470"/>
    </row>
    <row r="20" spans="1:256">
      <c r="A20" s="488" t="s">
        <v>998</v>
      </c>
      <c r="B20" s="486"/>
      <c r="C20" s="486"/>
      <c r="D20" s="486"/>
      <c r="E20" s="486"/>
      <c r="F20" s="486"/>
      <c r="G20" s="486"/>
      <c r="H20" s="487"/>
      <c r="I20" s="487"/>
      <c r="O20" s="470"/>
      <c r="P20" s="470"/>
      <c r="Q20" s="470"/>
      <c r="R20" s="470"/>
      <c r="S20" s="470"/>
      <c r="T20" s="470"/>
      <c r="U20" s="470"/>
      <c r="V20" s="470"/>
      <c r="W20" s="470"/>
      <c r="X20" s="470"/>
      <c r="Y20" s="470"/>
      <c r="Z20" s="470"/>
      <c r="AA20" s="470"/>
      <c r="AB20" s="470"/>
      <c r="AC20" s="470"/>
      <c r="AD20" s="470"/>
      <c r="AE20" s="470"/>
      <c r="AF20" s="470"/>
      <c r="AG20" s="470"/>
      <c r="AH20" s="470"/>
      <c r="AI20" s="470"/>
      <c r="AJ20" s="470"/>
      <c r="AK20" s="470"/>
      <c r="AL20" s="470"/>
      <c r="AM20" s="470"/>
      <c r="AN20" s="470"/>
      <c r="AO20" s="470"/>
      <c r="AP20" s="470"/>
      <c r="AQ20" s="470"/>
      <c r="AR20" s="470"/>
      <c r="AS20" s="470"/>
      <c r="AT20" s="470"/>
      <c r="AU20" s="470"/>
      <c r="AV20" s="470"/>
      <c r="AW20" s="470"/>
      <c r="AX20" s="470"/>
      <c r="AY20" s="470"/>
      <c r="AZ20" s="470"/>
      <c r="BA20" s="470"/>
      <c r="BB20" s="470"/>
      <c r="BC20" s="470"/>
      <c r="BD20" s="470"/>
      <c r="BE20" s="470"/>
      <c r="BF20" s="470"/>
      <c r="BG20" s="470"/>
      <c r="BH20" s="470"/>
      <c r="BI20" s="470"/>
      <c r="BJ20" s="470"/>
      <c r="BK20" s="470"/>
      <c r="BL20" s="470"/>
      <c r="BM20" s="470"/>
      <c r="BN20" s="470"/>
      <c r="BO20" s="470"/>
      <c r="BP20" s="470"/>
      <c r="BQ20" s="470"/>
      <c r="BR20" s="470"/>
      <c r="BS20" s="470"/>
      <c r="BT20" s="470"/>
      <c r="BU20" s="470"/>
      <c r="BV20" s="470"/>
      <c r="BW20" s="470"/>
      <c r="BX20" s="470"/>
      <c r="BY20" s="470"/>
      <c r="BZ20" s="470"/>
      <c r="CA20" s="470"/>
      <c r="CB20" s="470"/>
      <c r="CC20" s="470"/>
      <c r="CD20" s="470"/>
      <c r="CE20" s="470"/>
      <c r="CF20" s="470"/>
      <c r="CG20" s="470"/>
      <c r="CH20" s="470"/>
      <c r="CI20" s="470"/>
      <c r="CJ20" s="470"/>
      <c r="CK20" s="470"/>
      <c r="CL20" s="470"/>
      <c r="CM20" s="470"/>
      <c r="CN20" s="470"/>
      <c r="CO20" s="470"/>
      <c r="CP20" s="470"/>
      <c r="CQ20" s="470"/>
      <c r="CR20" s="470"/>
      <c r="CS20" s="470"/>
      <c r="CT20" s="470"/>
      <c r="CU20" s="470"/>
      <c r="CV20" s="470"/>
      <c r="CW20" s="470"/>
      <c r="CX20" s="470"/>
      <c r="CY20" s="470"/>
      <c r="CZ20" s="470"/>
      <c r="DA20" s="470"/>
      <c r="DB20" s="470"/>
      <c r="DC20" s="470"/>
      <c r="DD20" s="470"/>
      <c r="DE20" s="470"/>
      <c r="DF20" s="470"/>
      <c r="DG20" s="470"/>
      <c r="DH20" s="470"/>
      <c r="DI20" s="470"/>
      <c r="DJ20" s="470"/>
      <c r="DK20" s="470"/>
      <c r="DL20" s="470"/>
      <c r="DM20" s="470"/>
      <c r="DN20" s="470"/>
      <c r="DO20" s="470"/>
      <c r="DP20" s="470"/>
      <c r="DQ20" s="470"/>
      <c r="DR20" s="470"/>
      <c r="DS20" s="470"/>
      <c r="DT20" s="470"/>
      <c r="DU20" s="470"/>
      <c r="DV20" s="470"/>
      <c r="DW20" s="470"/>
      <c r="DX20" s="470"/>
      <c r="DY20" s="470"/>
      <c r="DZ20" s="470"/>
      <c r="EA20" s="470"/>
      <c r="EB20" s="470"/>
      <c r="EC20" s="470"/>
      <c r="ED20" s="470"/>
      <c r="EE20" s="470"/>
      <c r="EF20" s="470"/>
      <c r="EG20" s="470"/>
      <c r="EH20" s="470"/>
      <c r="EI20" s="470"/>
      <c r="EJ20" s="470"/>
      <c r="EK20" s="470"/>
      <c r="EL20" s="470"/>
      <c r="EM20" s="470"/>
      <c r="EN20" s="470"/>
      <c r="EO20" s="470"/>
      <c r="EP20" s="470"/>
      <c r="EQ20" s="470"/>
      <c r="ER20" s="470"/>
      <c r="ES20" s="470"/>
      <c r="ET20" s="470"/>
      <c r="EU20" s="470"/>
      <c r="EV20" s="470"/>
      <c r="EW20" s="470"/>
      <c r="EX20" s="470"/>
      <c r="EY20" s="470"/>
      <c r="EZ20" s="470"/>
      <c r="FA20" s="470"/>
      <c r="FB20" s="470"/>
      <c r="FC20" s="470"/>
      <c r="FD20" s="470"/>
      <c r="FE20" s="470"/>
      <c r="FF20" s="470"/>
      <c r="FG20" s="470"/>
      <c r="FH20" s="470"/>
      <c r="FI20" s="470"/>
      <c r="FJ20" s="470"/>
      <c r="FK20" s="470"/>
      <c r="FL20" s="470"/>
      <c r="FM20" s="470"/>
      <c r="FN20" s="470"/>
      <c r="FO20" s="470"/>
      <c r="FP20" s="470"/>
      <c r="FQ20" s="470"/>
      <c r="FR20" s="470"/>
      <c r="FS20" s="470"/>
      <c r="FT20" s="470"/>
      <c r="FU20" s="470"/>
      <c r="FV20" s="470"/>
      <c r="FW20" s="470"/>
      <c r="FX20" s="470"/>
      <c r="FY20" s="470"/>
      <c r="FZ20" s="470"/>
      <c r="GA20" s="470"/>
      <c r="GB20" s="470"/>
      <c r="GC20" s="470"/>
      <c r="GD20" s="470"/>
      <c r="GE20" s="470"/>
      <c r="GF20" s="470"/>
      <c r="GG20" s="470"/>
      <c r="GH20" s="470"/>
      <c r="GI20" s="470"/>
      <c r="GJ20" s="470"/>
      <c r="GK20" s="470"/>
      <c r="GL20" s="470"/>
      <c r="GM20" s="470"/>
      <c r="GN20" s="470"/>
      <c r="GO20" s="470"/>
      <c r="GP20" s="470"/>
      <c r="GQ20" s="470"/>
      <c r="GR20" s="470"/>
      <c r="GS20" s="470"/>
      <c r="GT20" s="470"/>
      <c r="GU20" s="470"/>
      <c r="GV20" s="470"/>
      <c r="GW20" s="470"/>
      <c r="GX20" s="470"/>
      <c r="GY20" s="470"/>
      <c r="GZ20" s="470"/>
      <c r="HA20" s="470"/>
      <c r="HB20" s="470"/>
      <c r="HC20" s="470"/>
      <c r="HD20" s="470"/>
      <c r="HE20" s="470"/>
      <c r="HF20" s="470"/>
      <c r="HG20" s="470"/>
      <c r="HH20" s="470"/>
      <c r="HI20" s="470"/>
      <c r="HJ20" s="470"/>
      <c r="HK20" s="470"/>
      <c r="HL20" s="470"/>
      <c r="HM20" s="470"/>
      <c r="HN20" s="470"/>
      <c r="HO20" s="470"/>
      <c r="HP20" s="470"/>
      <c r="HQ20" s="470"/>
      <c r="HR20" s="470"/>
      <c r="HS20" s="470"/>
      <c r="HT20" s="470"/>
      <c r="HU20" s="470"/>
      <c r="HV20" s="470"/>
      <c r="HW20" s="470"/>
      <c r="HX20" s="470"/>
      <c r="HY20" s="470"/>
      <c r="HZ20" s="470"/>
      <c r="IA20" s="470"/>
      <c r="IB20" s="470"/>
      <c r="IC20" s="470"/>
      <c r="ID20" s="470"/>
      <c r="IE20" s="470"/>
      <c r="IF20" s="470"/>
      <c r="IG20" s="470"/>
      <c r="IH20" s="470"/>
      <c r="II20" s="470"/>
      <c r="IJ20" s="470"/>
      <c r="IK20" s="470"/>
      <c r="IL20" s="470"/>
      <c r="IM20" s="470"/>
      <c r="IN20" s="470"/>
      <c r="IO20" s="470"/>
      <c r="IP20" s="470"/>
      <c r="IQ20" s="470"/>
      <c r="IR20" s="470"/>
      <c r="IS20" s="470"/>
      <c r="IT20" s="470"/>
      <c r="IU20" s="470"/>
      <c r="IV20" s="470"/>
    </row>
    <row r="21" spans="1:256">
      <c r="A21" s="485"/>
      <c r="B21" s="486"/>
      <c r="C21" s="486"/>
      <c r="D21" s="486"/>
      <c r="E21" s="486"/>
      <c r="F21" s="486"/>
      <c r="G21" s="486"/>
      <c r="H21" s="487"/>
      <c r="I21" s="487"/>
      <c r="O21" s="470"/>
      <c r="P21" s="470"/>
      <c r="Q21" s="470"/>
      <c r="R21" s="470"/>
      <c r="S21" s="470"/>
      <c r="T21" s="470"/>
      <c r="U21" s="470"/>
      <c r="V21" s="470"/>
      <c r="W21" s="470"/>
      <c r="X21" s="470"/>
      <c r="Y21" s="470"/>
      <c r="Z21" s="470"/>
      <c r="AA21" s="470"/>
      <c r="AB21" s="470"/>
      <c r="AC21" s="470"/>
      <c r="AD21" s="470"/>
      <c r="AE21" s="470"/>
      <c r="AF21" s="470"/>
      <c r="AG21" s="470"/>
      <c r="AH21" s="470"/>
      <c r="AI21" s="470"/>
      <c r="AJ21" s="470"/>
      <c r="AK21" s="470"/>
      <c r="AL21" s="470"/>
      <c r="AM21" s="470"/>
      <c r="AN21" s="470"/>
      <c r="AO21" s="470"/>
      <c r="AP21" s="470"/>
      <c r="AQ21" s="470"/>
      <c r="AR21" s="470"/>
      <c r="AS21" s="470"/>
      <c r="AT21" s="470"/>
      <c r="AU21" s="470"/>
      <c r="AV21" s="470"/>
      <c r="AW21" s="470"/>
      <c r="AX21" s="470"/>
      <c r="AY21" s="470"/>
      <c r="AZ21" s="470"/>
      <c r="BA21" s="470"/>
      <c r="BB21" s="470"/>
      <c r="BC21" s="470"/>
      <c r="BD21" s="470"/>
      <c r="BE21" s="470"/>
      <c r="BF21" s="470"/>
      <c r="BG21" s="470"/>
      <c r="BH21" s="470"/>
      <c r="BI21" s="470"/>
      <c r="BJ21" s="470"/>
      <c r="BK21" s="470"/>
      <c r="BL21" s="470"/>
      <c r="BM21" s="470"/>
      <c r="BN21" s="470"/>
      <c r="BO21" s="470"/>
      <c r="BP21" s="470"/>
      <c r="BQ21" s="470"/>
      <c r="BR21" s="470"/>
      <c r="BS21" s="470"/>
      <c r="BT21" s="470"/>
      <c r="BU21" s="470"/>
      <c r="BV21" s="470"/>
      <c r="BW21" s="470"/>
      <c r="BX21" s="470"/>
      <c r="BY21" s="470"/>
      <c r="BZ21" s="470"/>
      <c r="CA21" s="470"/>
      <c r="CB21" s="470"/>
      <c r="CC21" s="470"/>
      <c r="CD21" s="470"/>
      <c r="CE21" s="470"/>
      <c r="CF21" s="470"/>
      <c r="CG21" s="470"/>
      <c r="CH21" s="470"/>
      <c r="CI21" s="470"/>
      <c r="CJ21" s="470"/>
      <c r="CK21" s="470"/>
      <c r="CL21" s="470"/>
      <c r="CM21" s="470"/>
      <c r="CN21" s="470"/>
      <c r="CO21" s="470"/>
      <c r="CP21" s="470"/>
      <c r="CQ21" s="470"/>
      <c r="CR21" s="470"/>
      <c r="CS21" s="470"/>
      <c r="CT21" s="470"/>
      <c r="CU21" s="470"/>
      <c r="CV21" s="470"/>
      <c r="CW21" s="470"/>
      <c r="CX21" s="470"/>
      <c r="CY21" s="470"/>
      <c r="CZ21" s="470"/>
      <c r="DA21" s="470"/>
      <c r="DB21" s="470"/>
      <c r="DC21" s="470"/>
      <c r="DD21" s="470"/>
      <c r="DE21" s="470"/>
      <c r="DF21" s="470"/>
      <c r="DG21" s="470"/>
      <c r="DH21" s="470"/>
      <c r="DI21" s="470"/>
      <c r="DJ21" s="470"/>
      <c r="DK21" s="470"/>
      <c r="DL21" s="470"/>
      <c r="DM21" s="470"/>
      <c r="DN21" s="470"/>
      <c r="DO21" s="470"/>
      <c r="DP21" s="470"/>
      <c r="DQ21" s="470"/>
      <c r="DR21" s="470"/>
      <c r="DS21" s="470"/>
      <c r="DT21" s="470"/>
      <c r="DU21" s="470"/>
      <c r="DV21" s="470"/>
      <c r="DW21" s="470"/>
      <c r="DX21" s="470"/>
      <c r="DY21" s="470"/>
      <c r="DZ21" s="470"/>
      <c r="EA21" s="470"/>
      <c r="EB21" s="470"/>
      <c r="EC21" s="470"/>
      <c r="ED21" s="470"/>
      <c r="EE21" s="470"/>
      <c r="EF21" s="470"/>
      <c r="EG21" s="470"/>
      <c r="EH21" s="470"/>
      <c r="EI21" s="470"/>
      <c r="EJ21" s="470"/>
      <c r="EK21" s="470"/>
      <c r="EL21" s="470"/>
      <c r="EM21" s="470"/>
      <c r="EN21" s="470"/>
      <c r="EO21" s="470"/>
      <c r="EP21" s="470"/>
      <c r="EQ21" s="470"/>
      <c r="ER21" s="470"/>
      <c r="ES21" s="470"/>
      <c r="ET21" s="470"/>
      <c r="EU21" s="470"/>
      <c r="EV21" s="470"/>
      <c r="EW21" s="470"/>
      <c r="EX21" s="470"/>
      <c r="EY21" s="470"/>
      <c r="EZ21" s="470"/>
      <c r="FA21" s="470"/>
      <c r="FB21" s="470"/>
      <c r="FC21" s="470"/>
      <c r="FD21" s="470"/>
      <c r="FE21" s="470"/>
      <c r="FF21" s="470"/>
      <c r="FG21" s="470"/>
      <c r="FH21" s="470"/>
      <c r="FI21" s="470"/>
      <c r="FJ21" s="470"/>
      <c r="FK21" s="470"/>
      <c r="FL21" s="470"/>
      <c r="FM21" s="470"/>
      <c r="FN21" s="470"/>
      <c r="FO21" s="470"/>
      <c r="FP21" s="470"/>
      <c r="FQ21" s="470"/>
      <c r="FR21" s="470"/>
      <c r="FS21" s="470"/>
      <c r="FT21" s="470"/>
      <c r="FU21" s="470"/>
      <c r="FV21" s="470"/>
      <c r="FW21" s="470"/>
      <c r="FX21" s="470"/>
      <c r="FY21" s="470"/>
      <c r="FZ21" s="470"/>
      <c r="GA21" s="470"/>
      <c r="GB21" s="470"/>
      <c r="GC21" s="470"/>
      <c r="GD21" s="470"/>
      <c r="GE21" s="470"/>
      <c r="GF21" s="470"/>
      <c r="GG21" s="470"/>
      <c r="GH21" s="470"/>
      <c r="GI21" s="470"/>
      <c r="GJ21" s="470"/>
      <c r="GK21" s="470"/>
      <c r="GL21" s="470"/>
      <c r="GM21" s="470"/>
      <c r="GN21" s="470"/>
      <c r="GO21" s="470"/>
      <c r="GP21" s="470"/>
      <c r="GQ21" s="470"/>
      <c r="GR21" s="470"/>
      <c r="GS21" s="470"/>
      <c r="GT21" s="470"/>
      <c r="GU21" s="470"/>
      <c r="GV21" s="470"/>
      <c r="GW21" s="470"/>
      <c r="GX21" s="470"/>
      <c r="GY21" s="470"/>
      <c r="GZ21" s="470"/>
      <c r="HA21" s="470"/>
      <c r="HB21" s="470"/>
      <c r="HC21" s="470"/>
      <c r="HD21" s="470"/>
      <c r="HE21" s="470"/>
      <c r="HF21" s="470"/>
      <c r="HG21" s="470"/>
      <c r="HH21" s="470"/>
      <c r="HI21" s="470"/>
      <c r="HJ21" s="470"/>
      <c r="HK21" s="470"/>
      <c r="HL21" s="470"/>
      <c r="HM21" s="470"/>
      <c r="HN21" s="470"/>
      <c r="HO21" s="470"/>
      <c r="HP21" s="470"/>
      <c r="HQ21" s="470"/>
      <c r="HR21" s="470"/>
      <c r="HS21" s="470"/>
      <c r="HT21" s="470"/>
      <c r="HU21" s="470"/>
      <c r="HV21" s="470"/>
      <c r="HW21" s="470"/>
      <c r="HX21" s="470"/>
      <c r="HY21" s="470"/>
      <c r="HZ21" s="470"/>
      <c r="IA21" s="470"/>
      <c r="IB21" s="470"/>
      <c r="IC21" s="470"/>
      <c r="ID21" s="470"/>
      <c r="IE21" s="470"/>
      <c r="IF21" s="470"/>
      <c r="IG21" s="470"/>
      <c r="IH21" s="470"/>
      <c r="II21" s="470"/>
      <c r="IJ21" s="470"/>
      <c r="IK21" s="470"/>
      <c r="IL21" s="470"/>
      <c r="IM21" s="470"/>
      <c r="IN21" s="470"/>
      <c r="IO21" s="470"/>
      <c r="IP21" s="470"/>
      <c r="IQ21" s="470"/>
      <c r="IR21" s="470"/>
      <c r="IS21" s="470"/>
      <c r="IT21" s="470"/>
      <c r="IU21" s="470"/>
      <c r="IV21" s="470"/>
    </row>
    <row r="22" spans="1:256">
      <c r="A22" s="485"/>
      <c r="B22" s="486"/>
      <c r="C22" s="486"/>
      <c r="D22" s="486"/>
      <c r="E22" s="486"/>
      <c r="F22" s="486"/>
      <c r="G22" s="486"/>
      <c r="H22" s="487"/>
      <c r="I22" s="487"/>
      <c r="O22" s="470"/>
      <c r="P22" s="470"/>
      <c r="Q22" s="470"/>
      <c r="R22" s="470"/>
      <c r="S22" s="470"/>
      <c r="T22" s="470"/>
      <c r="U22" s="470"/>
      <c r="V22" s="470"/>
      <c r="W22" s="470"/>
      <c r="X22" s="470"/>
      <c r="Y22" s="470"/>
      <c r="Z22" s="470"/>
      <c r="AA22" s="470"/>
      <c r="AB22" s="470"/>
      <c r="AC22" s="470"/>
      <c r="AD22" s="470"/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/>
      <c r="BA22" s="470"/>
      <c r="BB22" s="470"/>
      <c r="BC22" s="470"/>
      <c r="BD22" s="470"/>
      <c r="BE22" s="470"/>
      <c r="BF22" s="470"/>
      <c r="BG22" s="470"/>
      <c r="BH22" s="470"/>
      <c r="BI22" s="470"/>
      <c r="BJ22" s="470"/>
      <c r="BK22" s="470"/>
      <c r="BL22" s="470"/>
      <c r="BM22" s="470"/>
      <c r="BN22" s="470"/>
      <c r="BO22" s="470"/>
      <c r="BP22" s="470"/>
      <c r="BQ22" s="470"/>
      <c r="BR22" s="470"/>
      <c r="BS22" s="470"/>
      <c r="BT22" s="470"/>
      <c r="BU22" s="470"/>
      <c r="BV22" s="470"/>
      <c r="BW22" s="470"/>
      <c r="BX22" s="470"/>
      <c r="BY22" s="470"/>
      <c r="BZ22" s="470"/>
      <c r="CA22" s="470"/>
      <c r="CB22" s="470"/>
      <c r="CC22" s="470"/>
      <c r="CD22" s="470"/>
      <c r="CE22" s="470"/>
      <c r="CF22" s="470"/>
      <c r="CG22" s="470"/>
      <c r="CH22" s="470"/>
      <c r="CI22" s="470"/>
      <c r="CJ22" s="470"/>
      <c r="CK22" s="470"/>
      <c r="CL22" s="470"/>
      <c r="CM22" s="470"/>
      <c r="CN22" s="470"/>
      <c r="CO22" s="470"/>
      <c r="CP22" s="470"/>
      <c r="CQ22" s="470"/>
      <c r="CR22" s="470"/>
      <c r="CS22" s="470"/>
      <c r="CT22" s="470"/>
      <c r="CU22" s="470"/>
      <c r="CV22" s="470"/>
      <c r="CW22" s="470"/>
      <c r="CX22" s="470"/>
      <c r="CY22" s="470"/>
      <c r="CZ22" s="470"/>
      <c r="DA22" s="470"/>
      <c r="DB22" s="470"/>
      <c r="DC22" s="470"/>
      <c r="DD22" s="470"/>
      <c r="DE22" s="470"/>
      <c r="DF22" s="470"/>
      <c r="DG22" s="470"/>
      <c r="DH22" s="470"/>
      <c r="DI22" s="470"/>
      <c r="DJ22" s="470"/>
      <c r="DK22" s="470"/>
      <c r="DL22" s="470"/>
      <c r="DM22" s="470"/>
      <c r="DN22" s="470"/>
      <c r="DO22" s="470"/>
      <c r="DP22" s="470"/>
      <c r="DQ22" s="470"/>
      <c r="DR22" s="470"/>
      <c r="DS22" s="470"/>
      <c r="DT22" s="470"/>
      <c r="DU22" s="470"/>
      <c r="DV22" s="470"/>
      <c r="DW22" s="470"/>
      <c r="DX22" s="470"/>
      <c r="DY22" s="470"/>
      <c r="DZ22" s="470"/>
      <c r="EA22" s="470"/>
      <c r="EB22" s="470"/>
      <c r="EC22" s="470"/>
      <c r="ED22" s="470"/>
      <c r="EE22" s="470"/>
      <c r="EF22" s="470"/>
      <c r="EG22" s="470"/>
      <c r="EH22" s="470"/>
      <c r="EI22" s="470"/>
      <c r="EJ22" s="470"/>
      <c r="EK22" s="470"/>
      <c r="EL22" s="470"/>
      <c r="EM22" s="470"/>
      <c r="EN22" s="470"/>
      <c r="EO22" s="470"/>
      <c r="EP22" s="470"/>
      <c r="EQ22" s="470"/>
      <c r="ER22" s="470"/>
      <c r="ES22" s="470"/>
      <c r="ET22" s="470"/>
      <c r="EU22" s="470"/>
      <c r="EV22" s="470"/>
      <c r="EW22" s="470"/>
      <c r="EX22" s="470"/>
      <c r="EY22" s="470"/>
      <c r="EZ22" s="470"/>
      <c r="FA22" s="470"/>
      <c r="FB22" s="470"/>
      <c r="FC22" s="470"/>
      <c r="FD22" s="470"/>
      <c r="FE22" s="470"/>
      <c r="FF22" s="470"/>
      <c r="FG22" s="470"/>
      <c r="FH22" s="470"/>
      <c r="FI22" s="470"/>
      <c r="FJ22" s="470"/>
      <c r="FK22" s="470"/>
      <c r="FL22" s="470"/>
      <c r="FM22" s="470"/>
      <c r="FN22" s="470"/>
      <c r="FO22" s="470"/>
      <c r="FP22" s="470"/>
      <c r="FQ22" s="470"/>
      <c r="FR22" s="470"/>
      <c r="FS22" s="470"/>
      <c r="FT22" s="470"/>
      <c r="FU22" s="470"/>
      <c r="FV22" s="470"/>
      <c r="FW22" s="470"/>
      <c r="FX22" s="470"/>
      <c r="FY22" s="470"/>
      <c r="FZ22" s="470"/>
      <c r="GA22" s="470"/>
      <c r="GB22" s="470"/>
      <c r="GC22" s="470"/>
      <c r="GD22" s="470"/>
      <c r="GE22" s="470"/>
      <c r="GF22" s="470"/>
      <c r="GG22" s="470"/>
      <c r="GH22" s="470"/>
      <c r="GI22" s="470"/>
      <c r="GJ22" s="470"/>
      <c r="GK22" s="470"/>
      <c r="GL22" s="470"/>
      <c r="GM22" s="470"/>
      <c r="GN22" s="470"/>
      <c r="GO22" s="470"/>
      <c r="GP22" s="470"/>
      <c r="GQ22" s="470"/>
      <c r="GR22" s="470"/>
      <c r="GS22" s="470"/>
      <c r="GT22" s="470"/>
      <c r="GU22" s="470"/>
      <c r="GV22" s="470"/>
      <c r="GW22" s="470"/>
      <c r="GX22" s="470"/>
      <c r="GY22" s="470"/>
      <c r="GZ22" s="470"/>
      <c r="HA22" s="470"/>
      <c r="HB22" s="470"/>
      <c r="HC22" s="470"/>
      <c r="HD22" s="470"/>
      <c r="HE22" s="470"/>
      <c r="HF22" s="470"/>
      <c r="HG22" s="470"/>
      <c r="HH22" s="470"/>
      <c r="HI22" s="470"/>
      <c r="HJ22" s="470"/>
      <c r="HK22" s="470"/>
      <c r="HL22" s="470"/>
      <c r="HM22" s="470"/>
      <c r="HN22" s="470"/>
      <c r="HO22" s="470"/>
      <c r="HP22" s="470"/>
      <c r="HQ22" s="470"/>
      <c r="HR22" s="470"/>
      <c r="HS22" s="470"/>
      <c r="HT22" s="470"/>
      <c r="HU22" s="470"/>
      <c r="HV22" s="470"/>
      <c r="HW22" s="470"/>
      <c r="HX22" s="470"/>
      <c r="HY22" s="470"/>
      <c r="HZ22" s="470"/>
      <c r="IA22" s="470"/>
      <c r="IB22" s="470"/>
      <c r="IC22" s="470"/>
      <c r="ID22" s="470"/>
      <c r="IE22" s="470"/>
      <c r="IF22" s="470"/>
      <c r="IG22" s="470"/>
      <c r="IH22" s="470"/>
      <c r="II22" s="470"/>
      <c r="IJ22" s="470"/>
      <c r="IK22" s="470"/>
      <c r="IL22" s="470"/>
      <c r="IM22" s="470"/>
      <c r="IN22" s="470"/>
      <c r="IO22" s="470"/>
      <c r="IP22" s="470"/>
      <c r="IQ22" s="470"/>
      <c r="IR22" s="470"/>
      <c r="IS22" s="470"/>
      <c r="IT22" s="470"/>
      <c r="IU22" s="470"/>
      <c r="IV22" s="470"/>
    </row>
    <row r="23" spans="1:256">
      <c r="A23" s="485"/>
      <c r="B23" s="486"/>
      <c r="C23" s="486"/>
      <c r="D23" s="486"/>
      <c r="E23" s="486"/>
      <c r="F23" s="486"/>
      <c r="G23" s="486"/>
      <c r="H23" s="487"/>
      <c r="I23" s="487"/>
      <c r="O23" s="470"/>
      <c r="P23" s="470"/>
      <c r="Q23" s="470"/>
      <c r="R23" s="470"/>
      <c r="S23" s="470"/>
      <c r="T23" s="470"/>
      <c r="U23" s="470"/>
      <c r="V23" s="470"/>
      <c r="W23" s="470"/>
      <c r="X23" s="470"/>
      <c r="Y23" s="470"/>
      <c r="Z23" s="470"/>
      <c r="AA23" s="470"/>
      <c r="AB23" s="470"/>
      <c r="AC23" s="470"/>
      <c r="AD23" s="470"/>
      <c r="AE23" s="470"/>
      <c r="AF23" s="470"/>
      <c r="AG23" s="470"/>
      <c r="AH23" s="470"/>
      <c r="AI23" s="470"/>
      <c r="AJ23" s="470"/>
      <c r="AK23" s="470"/>
      <c r="AL23" s="470"/>
      <c r="AM23" s="470"/>
      <c r="AN23" s="470"/>
      <c r="AO23" s="470"/>
      <c r="AP23" s="470"/>
      <c r="AQ23" s="470"/>
      <c r="AR23" s="470"/>
      <c r="AS23" s="470"/>
      <c r="AT23" s="470"/>
      <c r="AU23" s="470"/>
      <c r="AV23" s="470"/>
      <c r="AW23" s="470"/>
      <c r="AX23" s="470"/>
      <c r="AY23" s="470"/>
      <c r="AZ23" s="470"/>
      <c r="BA23" s="470"/>
      <c r="BB23" s="470"/>
      <c r="BC23" s="470"/>
      <c r="BD23" s="470"/>
      <c r="BE23" s="470"/>
      <c r="BF23" s="470"/>
      <c r="BG23" s="470"/>
      <c r="BH23" s="470"/>
      <c r="BI23" s="470"/>
      <c r="BJ23" s="470"/>
      <c r="BK23" s="470"/>
      <c r="BL23" s="470"/>
      <c r="BM23" s="470"/>
      <c r="BN23" s="470"/>
      <c r="BO23" s="470"/>
      <c r="BP23" s="470"/>
      <c r="BQ23" s="470"/>
      <c r="BR23" s="470"/>
      <c r="BS23" s="470"/>
      <c r="BT23" s="470"/>
      <c r="BU23" s="470"/>
      <c r="BV23" s="470"/>
      <c r="BW23" s="470"/>
      <c r="BX23" s="470"/>
      <c r="BY23" s="470"/>
      <c r="BZ23" s="470"/>
      <c r="CA23" s="470"/>
      <c r="CB23" s="470"/>
      <c r="CC23" s="470"/>
      <c r="CD23" s="470"/>
      <c r="CE23" s="470"/>
      <c r="CF23" s="470"/>
      <c r="CG23" s="470"/>
      <c r="CH23" s="470"/>
      <c r="CI23" s="470"/>
      <c r="CJ23" s="470"/>
      <c r="CK23" s="470"/>
      <c r="CL23" s="470"/>
      <c r="CM23" s="470"/>
      <c r="CN23" s="470"/>
      <c r="CO23" s="470"/>
      <c r="CP23" s="470"/>
      <c r="CQ23" s="470"/>
      <c r="CR23" s="470"/>
      <c r="CS23" s="470"/>
      <c r="CT23" s="470"/>
      <c r="CU23" s="470"/>
      <c r="CV23" s="470"/>
      <c r="CW23" s="470"/>
      <c r="CX23" s="470"/>
      <c r="CY23" s="470"/>
      <c r="CZ23" s="470"/>
      <c r="DA23" s="470"/>
      <c r="DB23" s="470"/>
      <c r="DC23" s="470"/>
      <c r="DD23" s="470"/>
      <c r="DE23" s="470"/>
      <c r="DF23" s="470"/>
      <c r="DG23" s="470"/>
      <c r="DH23" s="470"/>
      <c r="DI23" s="470"/>
      <c r="DJ23" s="470"/>
      <c r="DK23" s="470"/>
      <c r="DL23" s="470"/>
      <c r="DM23" s="470"/>
      <c r="DN23" s="470"/>
      <c r="DO23" s="470"/>
      <c r="DP23" s="470"/>
      <c r="DQ23" s="470"/>
      <c r="DR23" s="470"/>
      <c r="DS23" s="470"/>
      <c r="DT23" s="470"/>
      <c r="DU23" s="470"/>
      <c r="DV23" s="470"/>
      <c r="DW23" s="470"/>
      <c r="DX23" s="470"/>
      <c r="DY23" s="470"/>
      <c r="DZ23" s="470"/>
      <c r="EA23" s="470"/>
      <c r="EB23" s="470"/>
      <c r="EC23" s="470"/>
      <c r="ED23" s="470"/>
      <c r="EE23" s="470"/>
      <c r="EF23" s="470"/>
      <c r="EG23" s="470"/>
      <c r="EH23" s="470"/>
      <c r="EI23" s="470"/>
      <c r="EJ23" s="470"/>
      <c r="EK23" s="470"/>
      <c r="EL23" s="470"/>
      <c r="EM23" s="470"/>
      <c r="EN23" s="470"/>
      <c r="EO23" s="470"/>
      <c r="EP23" s="470"/>
      <c r="EQ23" s="470"/>
      <c r="ER23" s="470"/>
      <c r="ES23" s="470"/>
      <c r="ET23" s="470"/>
      <c r="EU23" s="470"/>
      <c r="EV23" s="470"/>
      <c r="EW23" s="470"/>
      <c r="EX23" s="470"/>
      <c r="EY23" s="470"/>
      <c r="EZ23" s="470"/>
      <c r="FA23" s="470"/>
      <c r="FB23" s="470"/>
      <c r="FC23" s="470"/>
      <c r="FD23" s="470"/>
      <c r="FE23" s="470"/>
      <c r="FF23" s="470"/>
      <c r="FG23" s="470"/>
      <c r="FH23" s="470"/>
      <c r="FI23" s="470"/>
      <c r="FJ23" s="470"/>
      <c r="FK23" s="470"/>
      <c r="FL23" s="470"/>
      <c r="FM23" s="470"/>
      <c r="FN23" s="470"/>
      <c r="FO23" s="470"/>
      <c r="FP23" s="470"/>
      <c r="FQ23" s="470"/>
      <c r="FR23" s="470"/>
      <c r="FS23" s="470"/>
      <c r="FT23" s="470"/>
      <c r="FU23" s="470"/>
      <c r="FV23" s="470"/>
      <c r="FW23" s="470"/>
      <c r="FX23" s="470"/>
      <c r="FY23" s="470"/>
      <c r="FZ23" s="470"/>
      <c r="GA23" s="470"/>
      <c r="GB23" s="470"/>
      <c r="GC23" s="470"/>
      <c r="GD23" s="470"/>
      <c r="GE23" s="470"/>
      <c r="GF23" s="470"/>
      <c r="GG23" s="470"/>
      <c r="GH23" s="470"/>
      <c r="GI23" s="470"/>
      <c r="GJ23" s="470"/>
      <c r="GK23" s="470"/>
      <c r="GL23" s="470"/>
      <c r="GM23" s="470"/>
      <c r="GN23" s="470"/>
      <c r="GO23" s="470"/>
      <c r="GP23" s="470"/>
      <c r="GQ23" s="470"/>
      <c r="GR23" s="470"/>
      <c r="GS23" s="470"/>
      <c r="GT23" s="470"/>
      <c r="GU23" s="470"/>
      <c r="GV23" s="470"/>
      <c r="GW23" s="470"/>
      <c r="GX23" s="470"/>
      <c r="GY23" s="470"/>
      <c r="GZ23" s="470"/>
      <c r="HA23" s="470"/>
      <c r="HB23" s="470"/>
      <c r="HC23" s="470"/>
      <c r="HD23" s="470"/>
      <c r="HE23" s="470"/>
      <c r="HF23" s="470"/>
      <c r="HG23" s="470"/>
      <c r="HH23" s="470"/>
      <c r="HI23" s="470"/>
      <c r="HJ23" s="470"/>
      <c r="HK23" s="470"/>
      <c r="HL23" s="470"/>
      <c r="HM23" s="470"/>
      <c r="HN23" s="470"/>
      <c r="HO23" s="470"/>
      <c r="HP23" s="470"/>
      <c r="HQ23" s="470"/>
      <c r="HR23" s="470"/>
      <c r="HS23" s="470"/>
      <c r="HT23" s="470"/>
      <c r="HU23" s="470"/>
      <c r="HV23" s="470"/>
      <c r="HW23" s="470"/>
      <c r="HX23" s="470"/>
      <c r="HY23" s="470"/>
      <c r="HZ23" s="470"/>
      <c r="IA23" s="470"/>
      <c r="IB23" s="470"/>
      <c r="IC23" s="470"/>
      <c r="ID23" s="470"/>
      <c r="IE23" s="470"/>
      <c r="IF23" s="470"/>
      <c r="IG23" s="470"/>
      <c r="IH23" s="470"/>
      <c r="II23" s="470"/>
      <c r="IJ23" s="470"/>
      <c r="IK23" s="470"/>
      <c r="IL23" s="470"/>
      <c r="IM23" s="470"/>
      <c r="IN23" s="470"/>
      <c r="IO23" s="470"/>
      <c r="IP23" s="470"/>
      <c r="IQ23" s="470"/>
      <c r="IR23" s="470"/>
      <c r="IS23" s="470"/>
      <c r="IT23" s="470"/>
      <c r="IU23" s="470"/>
      <c r="IV23" s="470"/>
    </row>
  </sheetData>
  <mergeCells count="4">
    <mergeCell ref="A5:A6"/>
    <mergeCell ref="B5:G5"/>
    <mergeCell ref="H5:H6"/>
    <mergeCell ref="I5:I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&amp;C&amp;"바탕체,보통"&amp;10- &amp;P -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showGridLines="0" showZeros="0" view="pageBreakPreview" topLeftCell="A10" zoomScaleNormal="80" zoomScaleSheetLayoutView="100" workbookViewId="0">
      <selection activeCell="K35" sqref="K35"/>
    </sheetView>
  </sheetViews>
  <sheetFormatPr defaultColWidth="8" defaultRowHeight="34.15" customHeight="1"/>
  <cols>
    <col min="1" max="2" width="5.5546875" style="383" customWidth="1"/>
    <col min="3" max="3" width="1.6640625" style="382" customWidth="1"/>
    <col min="4" max="4" width="22.33203125" style="382" customWidth="1"/>
    <col min="5" max="5" width="1.6640625" style="382" customWidth="1"/>
    <col min="6" max="6" width="17" style="444" customWidth="1"/>
    <col min="7" max="7" width="1.5546875" style="444" customWidth="1"/>
    <col min="8" max="8" width="18.109375" style="383" customWidth="1"/>
    <col min="9" max="9" width="8" style="382" customWidth="1"/>
    <col min="10" max="10" width="8.5546875" style="382" customWidth="1"/>
    <col min="11" max="13" width="8" style="382" customWidth="1"/>
    <col min="14" max="16384" width="8" style="382"/>
  </cols>
  <sheetData>
    <row r="1" spans="1:10" ht="20.100000000000001" customHeight="1">
      <c r="A1" s="1" t="str">
        <f>"[ 표 : "&amp;I1&amp;" ] "</f>
        <v xml:space="preserve">[ 표 : 16 ] </v>
      </c>
      <c r="B1" s="1"/>
      <c r="I1" s="382">
        <f>기간현황!J1+1</f>
        <v>16</v>
      </c>
    </row>
    <row r="2" spans="1:10" s="386" customFormat="1" ht="33.75" customHeight="1">
      <c r="A2" s="384" t="s">
        <v>75</v>
      </c>
      <c r="B2" s="384"/>
      <c r="C2" s="384"/>
      <c r="D2" s="384"/>
      <c r="E2" s="384"/>
      <c r="F2" s="445"/>
      <c r="G2" s="445"/>
      <c r="H2" s="385"/>
    </row>
    <row r="3" spans="1:10" ht="9" customHeight="1">
      <c r="A3" s="388"/>
      <c r="B3" s="388"/>
      <c r="C3" s="387"/>
      <c r="D3" s="387"/>
      <c r="E3" s="387"/>
      <c r="F3" s="446"/>
      <c r="G3" s="446"/>
      <c r="H3" s="388"/>
    </row>
    <row r="4" spans="1:10" ht="16.5" customHeight="1">
      <c r="D4" s="387"/>
      <c r="E4" s="447"/>
      <c r="F4" s="446"/>
      <c r="G4" s="446"/>
      <c r="H4" s="390" t="s">
        <v>49</v>
      </c>
    </row>
    <row r="5" spans="1:10" ht="24.75" customHeight="1">
      <c r="A5" s="1533" t="s">
        <v>76</v>
      </c>
      <c r="B5" s="1534"/>
      <c r="C5" s="1534"/>
      <c r="D5" s="1534"/>
      <c r="E5" s="1535"/>
      <c r="F5" s="1544" t="s">
        <v>329</v>
      </c>
      <c r="G5" s="1545"/>
      <c r="H5" s="1539" t="s">
        <v>77</v>
      </c>
    </row>
    <row r="6" spans="1:10" ht="24.75" customHeight="1">
      <c r="A6" s="1536"/>
      <c r="B6" s="1537"/>
      <c r="C6" s="1537"/>
      <c r="D6" s="1537"/>
      <c r="E6" s="1538"/>
      <c r="F6" s="1546"/>
      <c r="G6" s="1547"/>
      <c r="H6" s="1540"/>
    </row>
    <row r="7" spans="1:10" ht="19.5" customHeight="1">
      <c r="A7" s="1541" t="s">
        <v>408</v>
      </c>
      <c r="B7" s="1541" t="s">
        <v>302</v>
      </c>
      <c r="C7" s="448"/>
      <c r="D7" s="449" t="s">
        <v>148</v>
      </c>
      <c r="E7" s="450"/>
      <c r="F7" s="1225">
        <f>'고정)인적보험료집계'!E25</f>
        <v>802882</v>
      </c>
      <c r="G7" s="451"/>
      <c r="H7" s="452"/>
    </row>
    <row r="8" spans="1:10" ht="19.5" customHeight="1">
      <c r="A8" s="1542"/>
      <c r="B8" s="1542"/>
      <c r="C8" s="453"/>
      <c r="D8" s="454" t="s">
        <v>150</v>
      </c>
      <c r="E8" s="455"/>
      <c r="F8" s="1226">
        <f>'고정)인적보험료집계'!H25</f>
        <v>4014456</v>
      </c>
      <c r="G8" s="456"/>
      <c r="H8" s="457"/>
    </row>
    <row r="9" spans="1:10" ht="19.5" customHeight="1">
      <c r="A9" s="1542"/>
      <c r="B9" s="1542"/>
      <c r="C9" s="453"/>
      <c r="D9" s="454" t="s">
        <v>135</v>
      </c>
      <c r="E9" s="455"/>
      <c r="F9" s="1226">
        <f>'고정)인적보험료집계'!K25</f>
        <v>1025903</v>
      </c>
      <c r="G9" s="456"/>
      <c r="H9" s="457"/>
    </row>
    <row r="10" spans="1:10" ht="19.5" customHeight="1">
      <c r="A10" s="1542"/>
      <c r="B10" s="1542"/>
      <c r="C10" s="453"/>
      <c r="D10" s="454" t="s">
        <v>151</v>
      </c>
      <c r="E10" s="455"/>
      <c r="F10" s="1226">
        <f>'고정)인적보험료집계'!N25</f>
        <v>3162501</v>
      </c>
      <c r="G10" s="456"/>
      <c r="H10" s="457"/>
    </row>
    <row r="11" spans="1:10" ht="19.5" customHeight="1">
      <c r="A11" s="1542"/>
      <c r="B11" s="1542"/>
      <c r="C11" s="453"/>
      <c r="D11" s="454" t="s">
        <v>210</v>
      </c>
      <c r="E11" s="455"/>
      <c r="F11" s="1226">
        <f>'고정)인적보험료집계'!Q25</f>
        <v>405109</v>
      </c>
      <c r="G11" s="456"/>
      <c r="H11" s="457"/>
    </row>
    <row r="12" spans="1:10" ht="19.5" customHeight="1">
      <c r="A12" s="1542"/>
      <c r="B12" s="1542"/>
      <c r="C12" s="453"/>
      <c r="D12" s="454" t="s">
        <v>149</v>
      </c>
      <c r="E12" s="455"/>
      <c r="F12" s="1226">
        <f>'고정)인적보험료집계'!T25</f>
        <v>53511</v>
      </c>
      <c r="G12" s="456"/>
      <c r="H12" s="457"/>
    </row>
    <row r="13" spans="1:10" ht="19.5" customHeight="1">
      <c r="A13" s="1542"/>
      <c r="B13" s="1542"/>
      <c r="C13" s="458"/>
      <c r="D13" s="459" t="s">
        <v>633</v>
      </c>
      <c r="E13" s="460"/>
      <c r="F13" s="1227">
        <f>'고정)인적보험료집계'!W25</f>
        <v>3554</v>
      </c>
      <c r="G13" s="461"/>
      <c r="H13" s="462"/>
    </row>
    <row r="14" spans="1:10" ht="19.5" customHeight="1">
      <c r="A14" s="1542"/>
      <c r="B14" s="1543"/>
      <c r="C14" s="463"/>
      <c r="D14" s="464" t="s">
        <v>73</v>
      </c>
      <c r="E14" s="465"/>
      <c r="F14" s="1228">
        <f>SUM(F7:F13)</f>
        <v>9467916</v>
      </c>
      <c r="G14" s="467"/>
      <c r="H14" s="468" t="str">
        <f>'고정)인적보험료집계'!$A$1&amp;"참조"</f>
        <v>[ 표 : 17 ] 참조</v>
      </c>
    </row>
    <row r="15" spans="1:10" ht="19.5" customHeight="1">
      <c r="A15" s="1542"/>
      <c r="B15" s="1530" t="s">
        <v>407</v>
      </c>
      <c r="C15" s="1531"/>
      <c r="D15" s="1531"/>
      <c r="E15" s="1532"/>
      <c r="F15" s="1228">
        <f>'고정)복리후생비집계'!R25</f>
        <v>4869242</v>
      </c>
      <c r="G15" s="467"/>
      <c r="H15" s="468" t="str">
        <f>'고정)복리후생비집계'!$A$1&amp;"참조"</f>
        <v>[ 표 : 19 ] 참조</v>
      </c>
      <c r="J15" s="2">
        <f>TRUNC(F15/15)</f>
        <v>324616</v>
      </c>
    </row>
    <row r="16" spans="1:10" ht="19.5" customHeight="1">
      <c r="A16" s="1542"/>
      <c r="B16" s="1530" t="s">
        <v>409</v>
      </c>
      <c r="C16" s="1531"/>
      <c r="D16" s="1531"/>
      <c r="E16" s="1532"/>
      <c r="F16" s="1228">
        <f>'고정)안전관리비'!H15</f>
        <v>1797591.4571999998</v>
      </c>
      <c r="G16" s="467"/>
      <c r="H16" s="468" t="str">
        <f>'고정)안전관리비'!$A$1&amp;"참조"</f>
        <v>[ 표 : 24 ] 참조</v>
      </c>
    </row>
    <row r="17" spans="1:8" ht="19.5" customHeight="1">
      <c r="A17" s="1542"/>
      <c r="B17" s="1530" t="s">
        <v>410</v>
      </c>
      <c r="C17" s="1531"/>
      <c r="D17" s="1531"/>
      <c r="E17" s="1532"/>
      <c r="F17" s="1228">
        <f>'고정)교육훈련비'!H14</f>
        <v>167397</v>
      </c>
      <c r="G17" s="467"/>
      <c r="H17" s="468" t="str">
        <f>'고정)교육훈련비'!$A$1&amp;"참조"</f>
        <v>[ 표 : 25 ] 참조</v>
      </c>
    </row>
    <row r="18" spans="1:8" ht="19.5" customHeight="1">
      <c r="A18" s="1542"/>
      <c r="B18" s="1530" t="s">
        <v>411</v>
      </c>
      <c r="C18" s="1531"/>
      <c r="D18" s="1531"/>
      <c r="E18" s="1532"/>
      <c r="F18" s="1228">
        <f>'고정)소모품비'!H19</f>
        <v>627434</v>
      </c>
      <c r="G18" s="467"/>
      <c r="H18" s="468" t="str">
        <f>'고정)소모품비'!$A$1&amp;"참조"</f>
        <v>[ 표 : 26 ] 참조</v>
      </c>
    </row>
    <row r="19" spans="1:8" ht="19.5" customHeight="1">
      <c r="A19" s="1542"/>
      <c r="B19" s="1530" t="s">
        <v>549</v>
      </c>
      <c r="C19" s="1531"/>
      <c r="D19" s="1531"/>
      <c r="E19" s="1532"/>
      <c r="F19" s="1228">
        <f>'고정)출장여비'!H11</f>
        <v>95661</v>
      </c>
      <c r="G19" s="467"/>
      <c r="H19" s="468" t="str">
        <f>'고정)출장여비'!$A$1&amp;"참조"</f>
        <v>[ 표 : 27 ] 참조</v>
      </c>
    </row>
    <row r="20" spans="1:8" ht="19.5" customHeight="1">
      <c r="A20" s="1542"/>
      <c r="B20" s="1530" t="s">
        <v>412</v>
      </c>
      <c r="C20" s="1531"/>
      <c r="D20" s="1531"/>
      <c r="E20" s="1532"/>
      <c r="F20" s="1228">
        <f>'고정)통신비'!H10</f>
        <v>173066</v>
      </c>
      <c r="G20" s="467"/>
      <c r="H20" s="468" t="str">
        <f>'고정)통신비'!$A$1&amp;"참조"</f>
        <v>[ 표 : 29 ] 참조</v>
      </c>
    </row>
    <row r="21" spans="1:8" ht="19.5" customHeight="1">
      <c r="A21" s="1542"/>
      <c r="B21" s="1530"/>
      <c r="C21" s="1531"/>
      <c r="D21" s="1531"/>
      <c r="E21" s="1532"/>
      <c r="F21" s="466"/>
      <c r="G21" s="467"/>
      <c r="H21" s="468"/>
    </row>
    <row r="22" spans="1:8" ht="19.5" customHeight="1">
      <c r="A22" s="1543"/>
      <c r="B22" s="1530" t="s">
        <v>413</v>
      </c>
      <c r="C22" s="1531"/>
      <c r="D22" s="1531"/>
      <c r="E22" s="1532"/>
      <c r="F22" s="1228">
        <f>SUM(F14:F20)</f>
        <v>17198307.457199998</v>
      </c>
      <c r="G22" s="467"/>
      <c r="H22" s="468"/>
    </row>
    <row r="23" spans="1:8" ht="19.5" customHeight="1">
      <c r="A23" s="1551" t="s">
        <v>421</v>
      </c>
      <c r="B23" s="1530" t="s">
        <v>414</v>
      </c>
      <c r="C23" s="1531"/>
      <c r="D23" s="1531"/>
      <c r="E23" s="1532"/>
      <c r="F23" s="1228">
        <f>'변동)소모자재비'!H14</f>
        <v>2250000</v>
      </c>
      <c r="G23" s="467"/>
      <c r="H23" s="468" t="str">
        <f>'변동)소모자재비'!$A$1&amp;"참조"</f>
        <v>[ 표 : 30 ] 참조</v>
      </c>
    </row>
    <row r="24" spans="1:8" ht="19.5" customHeight="1">
      <c r="A24" s="1552"/>
      <c r="B24" s="1530" t="s">
        <v>577</v>
      </c>
      <c r="C24" s="1531"/>
      <c r="D24" s="1531"/>
      <c r="E24" s="1532"/>
      <c r="F24" s="1228">
        <f>'변동)수선유지비'!H31</f>
        <v>52986666</v>
      </c>
      <c r="G24" s="467"/>
      <c r="H24" s="468" t="str">
        <f>'변동)수선유지비'!$A$1&amp;"참조"</f>
        <v>[ 표 : 31 ] 참조</v>
      </c>
    </row>
    <row r="25" spans="1:8" ht="19.5" customHeight="1">
      <c r="A25" s="1552"/>
      <c r="B25" s="1530" t="s">
        <v>415</v>
      </c>
      <c r="C25" s="1531"/>
      <c r="D25" s="1531"/>
      <c r="E25" s="1532"/>
      <c r="F25" s="1228">
        <f>'변동)측정검사수수료'!H13</f>
        <v>150263</v>
      </c>
      <c r="G25" s="467"/>
      <c r="H25" s="468" t="str">
        <f>'변동)측정검사수수료'!$A$1&amp;"참조"</f>
        <v>[ 표 : 32 ] 참조</v>
      </c>
    </row>
    <row r="26" spans="1:8" ht="19.5" customHeight="1">
      <c r="A26" s="1552"/>
      <c r="B26" s="1530" t="s">
        <v>656</v>
      </c>
      <c r="C26" s="1531"/>
      <c r="D26" s="1531"/>
      <c r="E26" s="1532"/>
      <c r="F26" s="1228">
        <f>'변동)안전점검대행비'!H15</f>
        <v>2440000</v>
      </c>
      <c r="G26" s="467"/>
      <c r="H26" s="468" t="str">
        <f>'변동)안전점검대행비'!$A$1&amp;"참조"</f>
        <v>[ 표 : 33 ] 참조</v>
      </c>
    </row>
    <row r="27" spans="1:8" ht="19.5" customHeight="1">
      <c r="A27" s="1552"/>
      <c r="B27" s="1530" t="s">
        <v>416</v>
      </c>
      <c r="C27" s="1531"/>
      <c r="D27" s="1531"/>
      <c r="E27" s="1532"/>
      <c r="F27" s="1228">
        <f>'변동)차량유지비'!H16</f>
        <v>4939000</v>
      </c>
      <c r="G27" s="467"/>
      <c r="H27" s="468" t="str">
        <f>'변동)차량유지비'!$A$1&amp;"참조"</f>
        <v>[ 표 : 34 ] 참조</v>
      </c>
    </row>
    <row r="28" spans="1:8" ht="19.5" customHeight="1">
      <c r="A28" s="1552"/>
      <c r="B28" s="1530" t="s">
        <v>417</v>
      </c>
      <c r="C28" s="1531"/>
      <c r="D28" s="1531"/>
      <c r="E28" s="1532"/>
      <c r="F28" s="1228">
        <f>'변동)보안관리비'!H12</f>
        <v>520000</v>
      </c>
      <c r="G28" s="467"/>
      <c r="H28" s="468" t="str">
        <f>'변동)보안관리비'!$A$1&amp;"참조"</f>
        <v>[ 표 : 35 ] 참조</v>
      </c>
    </row>
    <row r="29" spans="1:8" ht="19.5" customHeight="1">
      <c r="A29" s="1552"/>
      <c r="B29" s="1530" t="s">
        <v>745</v>
      </c>
      <c r="C29" s="1531"/>
      <c r="D29" s="1531"/>
      <c r="E29" s="1532"/>
      <c r="F29" s="1228">
        <f>'변동)수집운반비'!E13</f>
        <v>5808711.0084666656</v>
      </c>
      <c r="G29" s="467"/>
      <c r="H29" s="468"/>
    </row>
    <row r="30" spans="1:8" ht="19.5" customHeight="1">
      <c r="A30" s="1552"/>
      <c r="B30" s="1530" t="s">
        <v>74</v>
      </c>
      <c r="C30" s="1531"/>
      <c r="D30" s="1531"/>
      <c r="E30" s="1532"/>
      <c r="F30" s="1228">
        <f>SUM(F23:F29)</f>
        <v>69094640.008466661</v>
      </c>
      <c r="G30" s="467"/>
      <c r="H30" s="469"/>
    </row>
    <row r="31" spans="1:8" ht="19.5" customHeight="1">
      <c r="A31" s="1551" t="s">
        <v>553</v>
      </c>
      <c r="B31" s="1530" t="s">
        <v>418</v>
      </c>
      <c r="C31" s="1531"/>
      <c r="D31" s="1531"/>
      <c r="E31" s="1532"/>
      <c r="F31" s="1228">
        <f>'변동-대)전력비'!H15</f>
        <v>134915602</v>
      </c>
      <c r="G31" s="467"/>
      <c r="H31" s="468" t="str">
        <f>'변동-대)전력비'!$A$1&amp;"참조"</f>
        <v>[ 표 : 37 ] 참조</v>
      </c>
    </row>
    <row r="32" spans="1:8" ht="19.5" customHeight="1">
      <c r="A32" s="1552"/>
      <c r="B32" s="1530" t="s">
        <v>419</v>
      </c>
      <c r="C32" s="1531"/>
      <c r="D32" s="1531"/>
      <c r="E32" s="1532"/>
      <c r="F32" s="1228">
        <f>'변동-대)수도광열비'!H18</f>
        <v>3641717</v>
      </c>
      <c r="G32" s="467"/>
      <c r="H32" s="468" t="str">
        <f>'변동-대)수도광열비'!$A$1&amp;"참조"</f>
        <v>[ 표 : 39 ] 참조</v>
      </c>
    </row>
    <row r="33" spans="1:8" ht="19.5" customHeight="1">
      <c r="A33" s="1552"/>
      <c r="B33" s="1530" t="s">
        <v>420</v>
      </c>
      <c r="C33" s="1531"/>
      <c r="D33" s="1531"/>
      <c r="E33" s="1532"/>
      <c r="F33" s="1228">
        <f>'변동-대)시설물보험료'!H18</f>
        <v>5832292</v>
      </c>
      <c r="G33" s="467"/>
      <c r="H33" s="468" t="str">
        <f>'변동-대)시설물보험료'!$A$1&amp;"참조"</f>
        <v>[ 표 : 40 ] 참조</v>
      </c>
    </row>
    <row r="34" spans="1:8" ht="19.5" customHeight="1">
      <c r="A34" s="1553"/>
      <c r="B34" s="1530" t="s">
        <v>413</v>
      </c>
      <c r="C34" s="1531"/>
      <c r="D34" s="1531"/>
      <c r="E34" s="1532"/>
      <c r="F34" s="1228">
        <f>SUM(F31:F33)</f>
        <v>144389611</v>
      </c>
      <c r="G34" s="467"/>
      <c r="H34" s="469"/>
    </row>
    <row r="35" spans="1:8" ht="19.5" customHeight="1">
      <c r="A35" s="1548" t="s">
        <v>78</v>
      </c>
      <c r="B35" s="1549"/>
      <c r="C35" s="1549"/>
      <c r="D35" s="1549"/>
      <c r="E35" s="1550"/>
      <c r="F35" s="1228">
        <f>SUM(F22,F30,F34)</f>
        <v>230682558.46566665</v>
      </c>
      <c r="G35" s="467"/>
      <c r="H35" s="469"/>
    </row>
  </sheetData>
  <mergeCells count="28">
    <mergeCell ref="B34:E34"/>
    <mergeCell ref="B27:E27"/>
    <mergeCell ref="B29:E29"/>
    <mergeCell ref="B19:E19"/>
    <mergeCell ref="A35:E35"/>
    <mergeCell ref="A23:A30"/>
    <mergeCell ref="A31:A34"/>
    <mergeCell ref="B33:E33"/>
    <mergeCell ref="B31:E31"/>
    <mergeCell ref="B28:E28"/>
    <mergeCell ref="B20:E20"/>
    <mergeCell ref="B26:E26"/>
    <mergeCell ref="B32:E32"/>
    <mergeCell ref="B24:E24"/>
    <mergeCell ref="B25:E25"/>
    <mergeCell ref="B23:E23"/>
    <mergeCell ref="B30:E30"/>
    <mergeCell ref="B22:E22"/>
    <mergeCell ref="A5:E6"/>
    <mergeCell ref="H5:H6"/>
    <mergeCell ref="B16:E16"/>
    <mergeCell ref="B21:E21"/>
    <mergeCell ref="A7:A22"/>
    <mergeCell ref="F5:G6"/>
    <mergeCell ref="B7:B14"/>
    <mergeCell ref="B17:E17"/>
    <mergeCell ref="B15:E15"/>
    <mergeCell ref="B18:E18"/>
  </mergeCells>
  <phoneticPr fontId="10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view="pageBreakPreview" topLeftCell="B12" zoomScale="90" zoomScaleNormal="85" zoomScaleSheetLayoutView="90" workbookViewId="0">
      <selection activeCell="O8" sqref="O8"/>
    </sheetView>
  </sheetViews>
  <sheetFormatPr defaultColWidth="8" defaultRowHeight="12"/>
  <cols>
    <col min="1" max="1" width="18.44140625" style="382" customWidth="1"/>
    <col min="2" max="2" width="15.5546875" style="382" customWidth="1"/>
    <col min="3" max="3" width="9.5546875" style="383" customWidth="1"/>
    <col min="4" max="4" width="5.77734375" style="383" customWidth="1"/>
    <col min="5" max="5" width="10.33203125" style="383" customWidth="1"/>
    <col min="6" max="6" width="9.5546875" style="383" customWidth="1"/>
    <col min="7" max="7" width="5.77734375" style="383" customWidth="1"/>
    <col min="8" max="8" width="10.33203125" style="383" customWidth="1"/>
    <col min="9" max="9" width="9.5546875" style="383" customWidth="1"/>
    <col min="10" max="10" width="5.77734375" style="383" customWidth="1"/>
    <col min="11" max="11" width="10.33203125" style="383" customWidth="1"/>
    <col min="12" max="12" width="9.5546875" style="383" customWidth="1"/>
    <col min="13" max="13" width="5.77734375" style="383" customWidth="1"/>
    <col min="14" max="14" width="10.33203125" style="383" customWidth="1"/>
    <col min="15" max="15" width="9.5546875" style="383" customWidth="1"/>
    <col min="16" max="16" width="5.77734375" style="383" customWidth="1"/>
    <col min="17" max="17" width="10.33203125" style="383" customWidth="1"/>
    <col min="18" max="18" width="9.5546875" style="383" customWidth="1"/>
    <col min="19" max="19" width="5.77734375" style="383" customWidth="1"/>
    <col min="20" max="20" width="10.33203125" style="383" customWidth="1"/>
    <col min="21" max="21" width="9.5546875" style="383" customWidth="1"/>
    <col min="22" max="22" width="5.77734375" style="383" customWidth="1"/>
    <col min="23" max="23" width="10.33203125" style="383" customWidth="1"/>
    <col min="24" max="24" width="14.6640625" style="383" customWidth="1"/>
    <col min="25" max="25" width="8" style="382" hidden="1" customWidth="1"/>
    <col min="26" max="26" width="9.21875" style="382" hidden="1" customWidth="1"/>
    <col min="27" max="27" width="15.109375" style="382" hidden="1" customWidth="1"/>
    <col min="28" max="28" width="0" style="382" hidden="1" customWidth="1"/>
    <col min="29" max="29" width="10.88671875" style="382" hidden="1" customWidth="1"/>
    <col min="30" max="30" width="13.6640625" style="382" hidden="1" customWidth="1"/>
    <col min="31" max="32" width="0" style="382" hidden="1" customWidth="1"/>
    <col min="33" max="16384" width="8" style="382"/>
  </cols>
  <sheetData>
    <row r="1" spans="1:31" ht="20.100000000000001" customHeight="1">
      <c r="A1" s="1" t="str">
        <f>"[ 표 : "&amp;Y1&amp;" ] "</f>
        <v xml:space="preserve">[ 표 : 17 ] </v>
      </c>
      <c r="Y1" s="382">
        <f>경비집계!I1+1</f>
        <v>17</v>
      </c>
    </row>
    <row r="2" spans="1:31" s="386" customFormat="1" ht="45.75" customHeight="1">
      <c r="A2" s="384" t="s">
        <v>258</v>
      </c>
      <c r="B2" s="384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</row>
    <row r="3" spans="1:31" ht="21" customHeight="1">
      <c r="A3" s="387"/>
      <c r="B3" s="387"/>
      <c r="C3" s="388"/>
      <c r="D3" s="388"/>
      <c r="E3" s="388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</row>
    <row r="4" spans="1:31" ht="20.100000000000001" customHeight="1">
      <c r="B4" s="387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90" t="s">
        <v>259</v>
      </c>
    </row>
    <row r="5" spans="1:31" ht="34.5" customHeight="1">
      <c r="A5" s="1339" t="s">
        <v>260</v>
      </c>
      <c r="B5" s="1339" t="s">
        <v>261</v>
      </c>
      <c r="C5" s="1558" t="s">
        <v>148</v>
      </c>
      <c r="D5" s="1559"/>
      <c r="E5" s="1560"/>
      <c r="F5" s="1558" t="s">
        <v>150</v>
      </c>
      <c r="G5" s="1559"/>
      <c r="H5" s="1560"/>
      <c r="I5" s="1558" t="s">
        <v>135</v>
      </c>
      <c r="J5" s="1559"/>
      <c r="K5" s="1560"/>
      <c r="L5" s="1558" t="s">
        <v>151</v>
      </c>
      <c r="M5" s="1559"/>
      <c r="N5" s="1560"/>
      <c r="O5" s="1558" t="s">
        <v>210</v>
      </c>
      <c r="P5" s="1559"/>
      <c r="Q5" s="1560"/>
      <c r="R5" s="1558" t="s">
        <v>149</v>
      </c>
      <c r="S5" s="1559"/>
      <c r="T5" s="1560"/>
      <c r="U5" s="1558" t="s">
        <v>634</v>
      </c>
      <c r="V5" s="1559"/>
      <c r="W5" s="1560"/>
      <c r="X5" s="1554" t="s">
        <v>262</v>
      </c>
    </row>
    <row r="6" spans="1:31" ht="34.5" customHeight="1">
      <c r="A6" s="1340"/>
      <c r="B6" s="1340"/>
      <c r="C6" s="397" t="s">
        <v>263</v>
      </c>
      <c r="D6" s="397" t="s">
        <v>264</v>
      </c>
      <c r="E6" s="394" t="s">
        <v>265</v>
      </c>
      <c r="F6" s="397" t="s">
        <v>263</v>
      </c>
      <c r="G6" s="397" t="s">
        <v>264</v>
      </c>
      <c r="H6" s="394" t="s">
        <v>265</v>
      </c>
      <c r="I6" s="397" t="s">
        <v>263</v>
      </c>
      <c r="J6" s="397" t="s">
        <v>264</v>
      </c>
      <c r="K6" s="394" t="s">
        <v>265</v>
      </c>
      <c r="L6" s="397" t="s">
        <v>263</v>
      </c>
      <c r="M6" s="397" t="s">
        <v>264</v>
      </c>
      <c r="N6" s="394" t="s">
        <v>265</v>
      </c>
      <c r="O6" s="397" t="s">
        <v>263</v>
      </c>
      <c r="P6" s="397" t="s">
        <v>264</v>
      </c>
      <c r="Q6" s="394" t="s">
        <v>265</v>
      </c>
      <c r="R6" s="397" t="s">
        <v>263</v>
      </c>
      <c r="S6" s="397" t="s">
        <v>264</v>
      </c>
      <c r="T6" s="394" t="s">
        <v>265</v>
      </c>
      <c r="U6" s="397" t="s">
        <v>263</v>
      </c>
      <c r="V6" s="397" t="s">
        <v>264</v>
      </c>
      <c r="W6" s="394" t="s">
        <v>65</v>
      </c>
      <c r="X6" s="1555"/>
    </row>
    <row r="7" spans="1:31" ht="36.75" customHeight="1">
      <c r="A7" s="398"/>
      <c r="B7" s="398"/>
      <c r="C7" s="401" t="s">
        <v>266</v>
      </c>
      <c r="D7" s="401" t="s">
        <v>137</v>
      </c>
      <c r="E7" s="402"/>
      <c r="F7" s="401" t="s">
        <v>266</v>
      </c>
      <c r="G7" s="401" t="s">
        <v>137</v>
      </c>
      <c r="H7" s="402"/>
      <c r="I7" s="401" t="s">
        <v>266</v>
      </c>
      <c r="J7" s="401" t="s">
        <v>137</v>
      </c>
      <c r="K7" s="402"/>
      <c r="L7" s="401" t="s">
        <v>266</v>
      </c>
      <c r="M7" s="401" t="s">
        <v>137</v>
      </c>
      <c r="N7" s="402"/>
      <c r="O7" s="401" t="s">
        <v>266</v>
      </c>
      <c r="P7" s="401" t="s">
        <v>137</v>
      </c>
      <c r="Q7" s="402"/>
      <c r="R7" s="401" t="s">
        <v>266</v>
      </c>
      <c r="S7" s="401" t="s">
        <v>137</v>
      </c>
      <c r="T7" s="402"/>
      <c r="U7" s="401" t="s">
        <v>213</v>
      </c>
      <c r="V7" s="401" t="s">
        <v>137</v>
      </c>
      <c r="W7" s="402"/>
      <c r="X7" s="403"/>
    </row>
    <row r="8" spans="1:31" ht="36.75" customHeight="1">
      <c r="A8" s="404" t="str">
        <f>투입인원!A8</f>
        <v>관리팀</v>
      </c>
      <c r="B8" s="404" t="str">
        <f>투입인원!B8</f>
        <v>관리소장</v>
      </c>
      <c r="C8" s="409">
        <f>'고정)인적보험료'!N8</f>
        <v>39910</v>
      </c>
      <c r="D8" s="410">
        <f>투입인원!F8</f>
        <v>1</v>
      </c>
      <c r="E8" s="434">
        <f>SUM(C8*D8)</f>
        <v>39910</v>
      </c>
      <c r="F8" s="409">
        <f>'고정)인적보험료'!N9</f>
        <v>199552</v>
      </c>
      <c r="G8" s="410">
        <f>D8</f>
        <v>1</v>
      </c>
      <c r="H8" s="434">
        <f>SUM(F8*G8)</f>
        <v>199552</v>
      </c>
      <c r="I8" s="409">
        <f>'고정)인적보험료'!N10</f>
        <v>50996</v>
      </c>
      <c r="J8" s="410">
        <f>G8</f>
        <v>1</v>
      </c>
      <c r="K8" s="434">
        <f>SUM(I8*J8)</f>
        <v>50996</v>
      </c>
      <c r="L8" s="409">
        <f>'고정)인적보험료'!N11</f>
        <v>157203</v>
      </c>
      <c r="M8" s="410">
        <f>J8</f>
        <v>1</v>
      </c>
      <c r="N8" s="434">
        <f>SUM(L8*M8)</f>
        <v>157203</v>
      </c>
      <c r="O8" s="409">
        <f>'고정)인적보험료'!N12</f>
        <v>20137</v>
      </c>
      <c r="P8" s="410">
        <f>M8</f>
        <v>1</v>
      </c>
      <c r="Q8" s="434">
        <f>SUM(O8*P8)</f>
        <v>20137</v>
      </c>
      <c r="R8" s="409">
        <f>'고정)인적보험료'!N13</f>
        <v>2660</v>
      </c>
      <c r="S8" s="410">
        <f>M8</f>
        <v>1</v>
      </c>
      <c r="T8" s="434">
        <f>SUM(R8*S8)</f>
        <v>2660</v>
      </c>
      <c r="U8" s="409">
        <f>'고정)인적보험료'!N14</f>
        <v>177</v>
      </c>
      <c r="V8" s="410">
        <f>P8</f>
        <v>1</v>
      </c>
      <c r="W8" s="434">
        <f>SUM(U8*V8)</f>
        <v>177</v>
      </c>
      <c r="X8" s="435">
        <f>SUM(T8,N8,K8,H8,Q8,E8,W8)</f>
        <v>470635</v>
      </c>
      <c r="Y8" s="436"/>
      <c r="Z8" s="437" t="str">
        <f>'고정)인적보험료집계'!A8</f>
        <v>관리팀</v>
      </c>
      <c r="AA8" s="438" t="str">
        <f>B8</f>
        <v>관리소장</v>
      </c>
      <c r="AB8" s="439">
        <f>D8</f>
        <v>1</v>
      </c>
      <c r="AC8" s="23">
        <f>SUM(C8,F8,I8,L8,O8,R8,U8)</f>
        <v>470635</v>
      </c>
      <c r="AD8" s="23">
        <f>TRUNC(AB8*AC8)</f>
        <v>470635</v>
      </c>
      <c r="AE8" s="440"/>
    </row>
    <row r="9" spans="1:31" ht="36.75" customHeight="1">
      <c r="A9" s="404" t="str">
        <f>투입인원!A9</f>
        <v>관리팀</v>
      </c>
      <c r="B9" s="404" t="str">
        <f>투입인원!B9</f>
        <v>관리팀장</v>
      </c>
      <c r="C9" s="409">
        <f>'고정)인적보험료'!N16</f>
        <v>44595</v>
      </c>
      <c r="D9" s="410">
        <f>투입인원!F9</f>
        <v>1</v>
      </c>
      <c r="E9" s="434">
        <f t="shared" ref="E9:E14" si="0">SUM(C9*D9)</f>
        <v>44595</v>
      </c>
      <c r="F9" s="409">
        <f>'고정)인적보험료'!N17</f>
        <v>222977</v>
      </c>
      <c r="G9" s="410">
        <f t="shared" ref="G9:G14" si="1">D9</f>
        <v>1</v>
      </c>
      <c r="H9" s="434">
        <f t="shared" ref="H9:H14" si="2">SUM(F9*G9)</f>
        <v>222977</v>
      </c>
      <c r="I9" s="409">
        <f>'고정)인적보험료'!N18</f>
        <v>56983</v>
      </c>
      <c r="J9" s="410">
        <f t="shared" ref="J9:J14" si="3">G9</f>
        <v>1</v>
      </c>
      <c r="K9" s="434">
        <f t="shared" ref="K9:K14" si="4">SUM(I9*J9)</f>
        <v>56983</v>
      </c>
      <c r="L9" s="409">
        <f>'고정)인적보험료'!N19</f>
        <v>175656</v>
      </c>
      <c r="M9" s="410">
        <f t="shared" ref="M9:M14" si="5">J9</f>
        <v>1</v>
      </c>
      <c r="N9" s="434">
        <f t="shared" ref="N9:N14" si="6">SUM(L9*M9)</f>
        <v>175656</v>
      </c>
      <c r="O9" s="409">
        <f>'고정)인적보험료'!N20</f>
        <v>22501</v>
      </c>
      <c r="P9" s="410">
        <f t="shared" ref="P9:P14" si="7">M9</f>
        <v>1</v>
      </c>
      <c r="Q9" s="434">
        <f t="shared" ref="Q9:Q14" si="8">SUM(O9*P9)</f>
        <v>22501</v>
      </c>
      <c r="R9" s="409">
        <f>'고정)인적보험료'!N21</f>
        <v>2973</v>
      </c>
      <c r="S9" s="410">
        <f t="shared" ref="S9:S14" si="9">M9</f>
        <v>1</v>
      </c>
      <c r="T9" s="434">
        <f t="shared" ref="T9:T14" si="10">SUM(R9*S9)</f>
        <v>2973</v>
      </c>
      <c r="U9" s="409">
        <f>'고정)인적보험료'!N22</f>
        <v>198</v>
      </c>
      <c r="V9" s="410">
        <f t="shared" ref="V9:V14" si="11">P9</f>
        <v>1</v>
      </c>
      <c r="W9" s="434">
        <f t="shared" ref="W9:W14" si="12">SUM(U9*V9)</f>
        <v>198</v>
      </c>
      <c r="X9" s="435">
        <f t="shared" ref="X9:X25" si="13">SUM(T9,N9,K9,H9,Q9,E9,W9)</f>
        <v>525883</v>
      </c>
      <c r="Y9" s="436"/>
      <c r="Z9" s="437" t="str">
        <f>'고정)인적보험료집계'!A9</f>
        <v>관리팀</v>
      </c>
      <c r="AA9" s="438" t="str">
        <f t="shared" ref="AA9:AA22" si="14">B9</f>
        <v>관리팀장</v>
      </c>
      <c r="AB9" s="439">
        <f t="shared" ref="AB9:AB22" si="15">D9</f>
        <v>1</v>
      </c>
      <c r="AC9" s="23">
        <f t="shared" ref="AC9:AC22" si="16">SUM(C9,F9,I9,L9,O9,R9,U9)</f>
        <v>525883</v>
      </c>
      <c r="AD9" s="23">
        <f t="shared" ref="AD9:AD22" si="17">TRUNC(AB9*AC9)</f>
        <v>525883</v>
      </c>
      <c r="AE9" s="440"/>
    </row>
    <row r="10" spans="1:31" ht="36.75" customHeight="1">
      <c r="A10" s="404" t="str">
        <f>투입인원!A10</f>
        <v>관리팀</v>
      </c>
      <c r="B10" s="404" t="str">
        <f>투입인원!B10</f>
        <v>관리팀원</v>
      </c>
      <c r="C10" s="409">
        <f>'고정)인적보험료'!N24</f>
        <v>27883</v>
      </c>
      <c r="D10" s="410">
        <f>투입인원!F10</f>
        <v>1</v>
      </c>
      <c r="E10" s="434">
        <f t="shared" ref="E10" si="18">SUM(C10*D10)</f>
        <v>27883</v>
      </c>
      <c r="F10" s="409">
        <f>'고정)인적보험료'!N25</f>
        <v>139417</v>
      </c>
      <c r="G10" s="410">
        <f t="shared" ref="G10" si="19">D10</f>
        <v>1</v>
      </c>
      <c r="H10" s="434">
        <f t="shared" ref="H10" si="20">SUM(F10*G10)</f>
        <v>139417</v>
      </c>
      <c r="I10" s="409">
        <f>'고정)인적보험료'!N26</f>
        <v>35628</v>
      </c>
      <c r="J10" s="410">
        <f t="shared" ref="J10" si="21">G10</f>
        <v>1</v>
      </c>
      <c r="K10" s="434">
        <f t="shared" ref="K10" si="22">SUM(I10*J10)</f>
        <v>35628</v>
      </c>
      <c r="L10" s="409">
        <f>'고정)인적보험료'!N27</f>
        <v>109830</v>
      </c>
      <c r="M10" s="410">
        <f t="shared" ref="M10" si="23">J10</f>
        <v>1</v>
      </c>
      <c r="N10" s="434">
        <f t="shared" ref="N10" si="24">SUM(L10*M10)</f>
        <v>109830</v>
      </c>
      <c r="O10" s="409">
        <f>'고정)인적보험료'!N28</f>
        <v>14069</v>
      </c>
      <c r="P10" s="410">
        <f t="shared" ref="P10" si="25">M10</f>
        <v>1</v>
      </c>
      <c r="Q10" s="434">
        <f t="shared" ref="Q10" si="26">SUM(O10*P10)</f>
        <v>14069</v>
      </c>
      <c r="R10" s="409">
        <f>'고정)인적보험료'!N29</f>
        <v>1858</v>
      </c>
      <c r="S10" s="410">
        <f t="shared" ref="S10" si="27">M10</f>
        <v>1</v>
      </c>
      <c r="T10" s="434">
        <f t="shared" ref="T10" si="28">SUM(R10*S10)</f>
        <v>1858</v>
      </c>
      <c r="U10" s="409">
        <f>'고정)인적보험료'!N30</f>
        <v>123</v>
      </c>
      <c r="V10" s="410">
        <f t="shared" ref="V10" si="29">P10</f>
        <v>1</v>
      </c>
      <c r="W10" s="434">
        <f t="shared" ref="W10" si="30">SUM(U10*V10)</f>
        <v>123</v>
      </c>
      <c r="X10" s="435">
        <f t="shared" ref="X10" si="31">SUM(T10,N10,K10,H10,Q10,E10,W10)</f>
        <v>328808</v>
      </c>
      <c r="Y10" s="436"/>
      <c r="Z10" s="437"/>
      <c r="AA10" s="438"/>
      <c r="AB10" s="439"/>
      <c r="AC10" s="23"/>
      <c r="AD10" s="23"/>
      <c r="AE10" s="441"/>
    </row>
    <row r="11" spans="1:31" ht="36.75" customHeight="1">
      <c r="A11" s="404" t="str">
        <f>투입인원!A11</f>
        <v>운영팀</v>
      </c>
      <c r="B11" s="404" t="str">
        <f>투입인원!B11</f>
        <v>전기팀장</v>
      </c>
      <c r="C11" s="409">
        <f>'고정)인적보험료'!N32</f>
        <v>37453</v>
      </c>
      <c r="D11" s="410">
        <f>투입인원!F11</f>
        <v>2</v>
      </c>
      <c r="E11" s="434">
        <f t="shared" si="0"/>
        <v>74906</v>
      </c>
      <c r="F11" s="409">
        <f>'고정)인적보험료'!N33</f>
        <v>187268</v>
      </c>
      <c r="G11" s="410">
        <f t="shared" si="1"/>
        <v>2</v>
      </c>
      <c r="H11" s="434">
        <f t="shared" si="2"/>
        <v>374536</v>
      </c>
      <c r="I11" s="409">
        <f>'고정)인적보험료'!N34</f>
        <v>47857</v>
      </c>
      <c r="J11" s="410">
        <f t="shared" si="3"/>
        <v>2</v>
      </c>
      <c r="K11" s="434">
        <f t="shared" si="4"/>
        <v>95714</v>
      </c>
      <c r="L11" s="409">
        <f>'고정)인적보험료'!N35</f>
        <v>147526</v>
      </c>
      <c r="M11" s="410">
        <f t="shared" si="5"/>
        <v>2</v>
      </c>
      <c r="N11" s="434">
        <f t="shared" si="6"/>
        <v>295052</v>
      </c>
      <c r="O11" s="409">
        <f>'고정)인적보험료'!N36</f>
        <v>18898</v>
      </c>
      <c r="P11" s="410">
        <f t="shared" si="7"/>
        <v>2</v>
      </c>
      <c r="Q11" s="434">
        <f t="shared" si="8"/>
        <v>37796</v>
      </c>
      <c r="R11" s="409">
        <f>'고정)인적보험료'!N37</f>
        <v>2496</v>
      </c>
      <c r="S11" s="410">
        <f t="shared" si="9"/>
        <v>2</v>
      </c>
      <c r="T11" s="434">
        <f t="shared" si="10"/>
        <v>4992</v>
      </c>
      <c r="U11" s="409">
        <f>'고정)인적보험료'!N38</f>
        <v>166</v>
      </c>
      <c r="V11" s="410">
        <f t="shared" si="11"/>
        <v>2</v>
      </c>
      <c r="W11" s="434">
        <f t="shared" si="12"/>
        <v>332</v>
      </c>
      <c r="X11" s="435">
        <f t="shared" si="13"/>
        <v>883328</v>
      </c>
      <c r="Y11" s="436"/>
      <c r="Z11" s="437" t="str">
        <f>'고정)인적보험료집계'!A11</f>
        <v>운영팀</v>
      </c>
      <c r="AA11" s="438" t="str">
        <f t="shared" si="14"/>
        <v>전기팀장</v>
      </c>
      <c r="AB11" s="439">
        <f t="shared" si="15"/>
        <v>2</v>
      </c>
      <c r="AC11" s="23">
        <f t="shared" si="16"/>
        <v>441664</v>
      </c>
      <c r="AD11" s="23">
        <f t="shared" si="17"/>
        <v>883328</v>
      </c>
      <c r="AE11" s="441"/>
    </row>
    <row r="12" spans="1:31" ht="36.75" customHeight="1">
      <c r="A12" s="404" t="str">
        <f>투입인원!A12</f>
        <v>운영팀</v>
      </c>
      <c r="B12" s="404" t="str">
        <f>투입인원!B12</f>
        <v>기계팀장</v>
      </c>
      <c r="C12" s="409">
        <f>'고정)인적보험료'!N40</f>
        <v>37453</v>
      </c>
      <c r="D12" s="410">
        <f>투입인원!F12</f>
        <v>2</v>
      </c>
      <c r="E12" s="434">
        <f t="shared" si="0"/>
        <v>74906</v>
      </c>
      <c r="F12" s="409">
        <f>'고정)인적보험료'!N41</f>
        <v>187268</v>
      </c>
      <c r="G12" s="410">
        <f t="shared" si="1"/>
        <v>2</v>
      </c>
      <c r="H12" s="434">
        <f t="shared" si="2"/>
        <v>374536</v>
      </c>
      <c r="I12" s="409">
        <f>'고정)인적보험료'!N42</f>
        <v>47857</v>
      </c>
      <c r="J12" s="410">
        <f t="shared" si="3"/>
        <v>2</v>
      </c>
      <c r="K12" s="434">
        <f t="shared" si="4"/>
        <v>95714</v>
      </c>
      <c r="L12" s="409">
        <f>'고정)인적보험료'!N43</f>
        <v>147526</v>
      </c>
      <c r="M12" s="410">
        <f t="shared" si="5"/>
        <v>2</v>
      </c>
      <c r="N12" s="434">
        <f t="shared" si="6"/>
        <v>295052</v>
      </c>
      <c r="O12" s="409">
        <f>'고정)인적보험료'!N44</f>
        <v>18898</v>
      </c>
      <c r="P12" s="410">
        <f t="shared" si="7"/>
        <v>2</v>
      </c>
      <c r="Q12" s="434">
        <f t="shared" si="8"/>
        <v>37796</v>
      </c>
      <c r="R12" s="409">
        <f>'고정)인적보험료'!N45</f>
        <v>2496</v>
      </c>
      <c r="S12" s="410">
        <f t="shared" si="9"/>
        <v>2</v>
      </c>
      <c r="T12" s="434">
        <f t="shared" si="10"/>
        <v>4992</v>
      </c>
      <c r="U12" s="409">
        <f>'고정)인적보험료'!N46</f>
        <v>166</v>
      </c>
      <c r="V12" s="410">
        <f t="shared" si="11"/>
        <v>2</v>
      </c>
      <c r="W12" s="434">
        <f t="shared" si="12"/>
        <v>332</v>
      </c>
      <c r="X12" s="435">
        <f t="shared" si="13"/>
        <v>883328</v>
      </c>
      <c r="Y12" s="436"/>
      <c r="Z12" s="437" t="str">
        <f>'고정)인적보험료집계'!A12</f>
        <v>운영팀</v>
      </c>
      <c r="AA12" s="438" t="str">
        <f t="shared" si="14"/>
        <v>기계팀장</v>
      </c>
      <c r="AB12" s="439">
        <f t="shared" si="15"/>
        <v>2</v>
      </c>
      <c r="AC12" s="23">
        <f t="shared" si="16"/>
        <v>441664</v>
      </c>
      <c r="AD12" s="23">
        <f t="shared" si="17"/>
        <v>883328</v>
      </c>
      <c r="AE12" s="440"/>
    </row>
    <row r="13" spans="1:31" ht="36.75" customHeight="1">
      <c r="A13" s="404" t="str">
        <f>투입인원!A13</f>
        <v>운영팀</v>
      </c>
      <c r="B13" s="404" t="str">
        <f>투입인원!B13</f>
        <v>전기담당</v>
      </c>
      <c r="C13" s="409">
        <f>'고정)인적보험료'!N48</f>
        <v>32995</v>
      </c>
      <c r="D13" s="410">
        <f>투입인원!F13</f>
        <v>2</v>
      </c>
      <c r="E13" s="434">
        <f t="shared" si="0"/>
        <v>65990</v>
      </c>
      <c r="F13" s="409">
        <f>'고정)인적보험료'!N49</f>
        <v>164976</v>
      </c>
      <c r="G13" s="410">
        <f t="shared" si="1"/>
        <v>2</v>
      </c>
      <c r="H13" s="434">
        <f t="shared" si="2"/>
        <v>329952</v>
      </c>
      <c r="I13" s="409">
        <f>'고정)인적보험료'!N50</f>
        <v>42160</v>
      </c>
      <c r="J13" s="410">
        <f t="shared" si="3"/>
        <v>2</v>
      </c>
      <c r="K13" s="434">
        <f t="shared" si="4"/>
        <v>84320</v>
      </c>
      <c r="L13" s="409">
        <f>'고정)인적보험료'!N51</f>
        <v>129964</v>
      </c>
      <c r="M13" s="410">
        <f t="shared" si="5"/>
        <v>2</v>
      </c>
      <c r="N13" s="434">
        <f t="shared" si="6"/>
        <v>259928</v>
      </c>
      <c r="O13" s="409">
        <f>'고정)인적보험료'!N52</f>
        <v>16648</v>
      </c>
      <c r="P13" s="410">
        <f t="shared" si="7"/>
        <v>2</v>
      </c>
      <c r="Q13" s="434">
        <f t="shared" si="8"/>
        <v>33296</v>
      </c>
      <c r="R13" s="409">
        <f>'고정)인적보험료'!N53</f>
        <v>2199</v>
      </c>
      <c r="S13" s="410">
        <f t="shared" si="9"/>
        <v>2</v>
      </c>
      <c r="T13" s="434">
        <f t="shared" si="10"/>
        <v>4398</v>
      </c>
      <c r="U13" s="409">
        <f>'고정)인적보험료'!N54</f>
        <v>146</v>
      </c>
      <c r="V13" s="410">
        <f t="shared" si="11"/>
        <v>2</v>
      </c>
      <c r="W13" s="434">
        <f t="shared" si="12"/>
        <v>292</v>
      </c>
      <c r="X13" s="435">
        <f t="shared" si="13"/>
        <v>778176</v>
      </c>
      <c r="Y13" s="436"/>
      <c r="Z13" s="437" t="str">
        <f>'고정)인적보험료집계'!A13</f>
        <v>운영팀</v>
      </c>
      <c r="AA13" s="438" t="str">
        <f t="shared" si="14"/>
        <v>전기담당</v>
      </c>
      <c r="AB13" s="439">
        <f t="shared" si="15"/>
        <v>2</v>
      </c>
      <c r="AC13" s="23">
        <f t="shared" si="16"/>
        <v>389088</v>
      </c>
      <c r="AD13" s="23">
        <f t="shared" si="17"/>
        <v>778176</v>
      </c>
    </row>
    <row r="14" spans="1:31" ht="36.75" customHeight="1">
      <c r="A14" s="404" t="str">
        <f>투입인원!A14</f>
        <v>운영팀</v>
      </c>
      <c r="B14" s="404" t="str">
        <f>투입인원!B14</f>
        <v>기계담당</v>
      </c>
      <c r="C14" s="409">
        <f>'고정)인적보험료'!N56</f>
        <v>32995</v>
      </c>
      <c r="D14" s="410">
        <f>투입인원!F14</f>
        <v>2</v>
      </c>
      <c r="E14" s="434">
        <f t="shared" si="0"/>
        <v>65990</v>
      </c>
      <c r="F14" s="409">
        <f>'고정)인적보험료'!N57</f>
        <v>164976</v>
      </c>
      <c r="G14" s="410">
        <f t="shared" si="1"/>
        <v>2</v>
      </c>
      <c r="H14" s="434">
        <f t="shared" si="2"/>
        <v>329952</v>
      </c>
      <c r="I14" s="409">
        <f>'고정)인적보험료'!N58</f>
        <v>42160</v>
      </c>
      <c r="J14" s="410">
        <f t="shared" si="3"/>
        <v>2</v>
      </c>
      <c r="K14" s="434">
        <f t="shared" si="4"/>
        <v>84320</v>
      </c>
      <c r="L14" s="409">
        <f>'고정)인적보험료'!N59</f>
        <v>129964</v>
      </c>
      <c r="M14" s="410">
        <f t="shared" si="5"/>
        <v>2</v>
      </c>
      <c r="N14" s="434">
        <f t="shared" si="6"/>
        <v>259928</v>
      </c>
      <c r="O14" s="409">
        <f>'고정)인적보험료'!N60</f>
        <v>16648</v>
      </c>
      <c r="P14" s="410">
        <f t="shared" si="7"/>
        <v>2</v>
      </c>
      <c r="Q14" s="434">
        <f t="shared" si="8"/>
        <v>33296</v>
      </c>
      <c r="R14" s="409">
        <f>'고정)인적보험료'!N61</f>
        <v>2199</v>
      </c>
      <c r="S14" s="410">
        <f t="shared" si="9"/>
        <v>2</v>
      </c>
      <c r="T14" s="434">
        <f t="shared" si="10"/>
        <v>4398</v>
      </c>
      <c r="U14" s="409">
        <f>'고정)인적보험료'!N62</f>
        <v>146</v>
      </c>
      <c r="V14" s="410">
        <f t="shared" si="11"/>
        <v>2</v>
      </c>
      <c r="W14" s="434">
        <f t="shared" si="12"/>
        <v>292</v>
      </c>
      <c r="X14" s="435">
        <f t="shared" si="13"/>
        <v>778176</v>
      </c>
      <c r="Y14" s="436"/>
      <c r="Z14" s="437" t="str">
        <f>'고정)인적보험료집계'!A14</f>
        <v>운영팀</v>
      </c>
      <c r="AA14" s="438" t="str">
        <f t="shared" si="14"/>
        <v>기계담당</v>
      </c>
      <c r="AB14" s="439">
        <f t="shared" si="15"/>
        <v>2</v>
      </c>
      <c r="AC14" s="23">
        <f t="shared" si="16"/>
        <v>389088</v>
      </c>
      <c r="AD14" s="23">
        <f t="shared" si="17"/>
        <v>778176</v>
      </c>
    </row>
    <row r="15" spans="1:31" ht="36.75" customHeight="1">
      <c r="A15" s="404" t="str">
        <f>투입인원!A15</f>
        <v>운영팀</v>
      </c>
      <c r="B15" s="404" t="str">
        <f>투입인원!B15</f>
        <v>전기담당</v>
      </c>
      <c r="C15" s="409">
        <f>'고정)인적보험료'!N64</f>
        <v>35673</v>
      </c>
      <c r="D15" s="410">
        <f>투입인원!F15</f>
        <v>1</v>
      </c>
      <c r="E15" s="434">
        <f t="shared" ref="E15:E24" si="32">SUM(C15*D15)</f>
        <v>35673</v>
      </c>
      <c r="F15" s="409">
        <f>'고정)인적보험료'!N65</f>
        <v>178365</v>
      </c>
      <c r="G15" s="410">
        <f t="shared" ref="G15:G24" si="33">D15</f>
        <v>1</v>
      </c>
      <c r="H15" s="434">
        <f t="shared" ref="H15:H24" si="34">SUM(F15*G15)</f>
        <v>178365</v>
      </c>
      <c r="I15" s="409">
        <f>'고정)인적보험료'!N66</f>
        <v>45582</v>
      </c>
      <c r="J15" s="410">
        <f t="shared" ref="J15:J24" si="35">G15</f>
        <v>1</v>
      </c>
      <c r="K15" s="434">
        <f t="shared" ref="K15:K24" si="36">SUM(I15*J15)</f>
        <v>45582</v>
      </c>
      <c r="L15" s="409">
        <f>'고정)인적보험료'!N67</f>
        <v>140512</v>
      </c>
      <c r="M15" s="410">
        <f t="shared" ref="M15:M24" si="37">J15</f>
        <v>1</v>
      </c>
      <c r="N15" s="434">
        <f t="shared" ref="N15:N24" si="38">SUM(L15*M15)</f>
        <v>140512</v>
      </c>
      <c r="O15" s="409">
        <f>'고정)인적보험료'!N68</f>
        <v>17999</v>
      </c>
      <c r="P15" s="410">
        <f t="shared" ref="P15:P24" si="39">M15</f>
        <v>1</v>
      </c>
      <c r="Q15" s="434">
        <f t="shared" ref="Q15:Q24" si="40">SUM(O15*P15)</f>
        <v>17999</v>
      </c>
      <c r="R15" s="409">
        <f>'고정)인적보험료'!N69</f>
        <v>2378</v>
      </c>
      <c r="S15" s="410">
        <f t="shared" ref="S15:S24" si="41">M15</f>
        <v>1</v>
      </c>
      <c r="T15" s="434">
        <f t="shared" ref="T15:T24" si="42">SUM(R15*S15)</f>
        <v>2378</v>
      </c>
      <c r="U15" s="409">
        <f>'고정)인적보험료'!N70</f>
        <v>158</v>
      </c>
      <c r="V15" s="410">
        <f t="shared" ref="V15:V24" si="43">P15</f>
        <v>1</v>
      </c>
      <c r="W15" s="434">
        <f t="shared" ref="W15:W24" si="44">SUM(U15*V15)</f>
        <v>158</v>
      </c>
      <c r="X15" s="435">
        <f t="shared" si="13"/>
        <v>420667</v>
      </c>
      <c r="Y15" s="436"/>
      <c r="Z15" s="437" t="str">
        <f>'고정)인적보험료집계'!A15</f>
        <v>운영팀</v>
      </c>
      <c r="AA15" s="438" t="str">
        <f t="shared" si="14"/>
        <v>전기담당</v>
      </c>
      <c r="AB15" s="439">
        <f t="shared" si="15"/>
        <v>1</v>
      </c>
      <c r="AC15" s="23">
        <f t="shared" si="16"/>
        <v>420667</v>
      </c>
      <c r="AD15" s="23">
        <f t="shared" si="17"/>
        <v>420667</v>
      </c>
    </row>
    <row r="16" spans="1:31" ht="36.75" customHeight="1">
      <c r="A16" s="404" t="str">
        <f>투입인원!A16</f>
        <v>운영팀</v>
      </c>
      <c r="B16" s="404" t="str">
        <f>투입인원!B16</f>
        <v>기계담당</v>
      </c>
      <c r="C16" s="409">
        <f>'고정)인적보험료'!N72</f>
        <v>35673</v>
      </c>
      <c r="D16" s="410">
        <f>투입인원!F16</f>
        <v>1</v>
      </c>
      <c r="E16" s="434">
        <f t="shared" si="32"/>
        <v>35673</v>
      </c>
      <c r="F16" s="409">
        <f>'고정)인적보험료'!N73</f>
        <v>178365</v>
      </c>
      <c r="G16" s="410">
        <f t="shared" si="33"/>
        <v>1</v>
      </c>
      <c r="H16" s="434">
        <f t="shared" si="34"/>
        <v>178365</v>
      </c>
      <c r="I16" s="409">
        <f>'고정)인적보험료'!N74</f>
        <v>45582</v>
      </c>
      <c r="J16" s="410">
        <f t="shared" si="35"/>
        <v>1</v>
      </c>
      <c r="K16" s="434">
        <f t="shared" si="36"/>
        <v>45582</v>
      </c>
      <c r="L16" s="409">
        <f>'고정)인적보험료'!N75</f>
        <v>140512</v>
      </c>
      <c r="M16" s="410">
        <f t="shared" si="37"/>
        <v>1</v>
      </c>
      <c r="N16" s="434">
        <f t="shared" si="38"/>
        <v>140512</v>
      </c>
      <c r="O16" s="409">
        <f>'고정)인적보험료'!N76</f>
        <v>17999</v>
      </c>
      <c r="P16" s="410">
        <f t="shared" si="39"/>
        <v>1</v>
      </c>
      <c r="Q16" s="434">
        <f t="shared" si="40"/>
        <v>17999</v>
      </c>
      <c r="R16" s="409">
        <f>'고정)인적보험료'!N77</f>
        <v>2378</v>
      </c>
      <c r="S16" s="410">
        <f t="shared" si="41"/>
        <v>1</v>
      </c>
      <c r="T16" s="434">
        <f t="shared" si="42"/>
        <v>2378</v>
      </c>
      <c r="U16" s="409">
        <f>'고정)인적보험료'!N78</f>
        <v>158</v>
      </c>
      <c r="V16" s="410">
        <f t="shared" si="43"/>
        <v>1</v>
      </c>
      <c r="W16" s="434">
        <f t="shared" si="44"/>
        <v>158</v>
      </c>
      <c r="X16" s="435">
        <f t="shared" si="13"/>
        <v>420667</v>
      </c>
      <c r="Y16" s="436"/>
      <c r="Z16" s="437" t="str">
        <f>'고정)인적보험료집계'!A16</f>
        <v>운영팀</v>
      </c>
      <c r="AA16" s="438" t="str">
        <f t="shared" si="14"/>
        <v>기계담당</v>
      </c>
      <c r="AB16" s="439">
        <f t="shared" si="15"/>
        <v>1</v>
      </c>
      <c r="AC16" s="23">
        <f t="shared" si="16"/>
        <v>420667</v>
      </c>
      <c r="AD16" s="23">
        <f t="shared" si="17"/>
        <v>420667</v>
      </c>
    </row>
    <row r="17" spans="1:30" ht="36.75" customHeight="1">
      <c r="A17" s="404" t="str">
        <f>투입인원!A17</f>
        <v>운영팀</v>
      </c>
      <c r="B17" s="404" t="str">
        <f>투입인원!B17</f>
        <v>전기담당</v>
      </c>
      <c r="C17" s="409">
        <f>'고정)인적보험료'!N80</f>
        <v>31740</v>
      </c>
      <c r="D17" s="410">
        <f>투입인원!F17</f>
        <v>2</v>
      </c>
      <c r="E17" s="434">
        <f t="shared" si="32"/>
        <v>63480</v>
      </c>
      <c r="F17" s="409">
        <f>'고정)인적보험료'!N81</f>
        <v>158703</v>
      </c>
      <c r="G17" s="410">
        <f t="shared" si="33"/>
        <v>2</v>
      </c>
      <c r="H17" s="434">
        <f t="shared" si="34"/>
        <v>317406</v>
      </c>
      <c r="I17" s="409">
        <f>'고정)인적보험료'!N82</f>
        <v>40557</v>
      </c>
      <c r="J17" s="410">
        <f t="shared" si="35"/>
        <v>2</v>
      </c>
      <c r="K17" s="434">
        <f t="shared" si="36"/>
        <v>81114</v>
      </c>
      <c r="L17" s="409">
        <f>'고정)인적보험료'!N83</f>
        <v>125023</v>
      </c>
      <c r="M17" s="410">
        <f t="shared" si="37"/>
        <v>2</v>
      </c>
      <c r="N17" s="434">
        <f t="shared" si="38"/>
        <v>250046</v>
      </c>
      <c r="O17" s="409">
        <f>'고정)인적보험료'!N84</f>
        <v>16015</v>
      </c>
      <c r="P17" s="410">
        <f t="shared" si="39"/>
        <v>2</v>
      </c>
      <c r="Q17" s="434">
        <f t="shared" si="40"/>
        <v>32030</v>
      </c>
      <c r="R17" s="409">
        <f>'고정)인적보험료'!N85</f>
        <v>2116</v>
      </c>
      <c r="S17" s="410">
        <f t="shared" si="41"/>
        <v>2</v>
      </c>
      <c r="T17" s="434">
        <f t="shared" si="42"/>
        <v>4232</v>
      </c>
      <c r="U17" s="409">
        <f>'고정)인적보험료'!N86</f>
        <v>141</v>
      </c>
      <c r="V17" s="410">
        <f t="shared" si="43"/>
        <v>2</v>
      </c>
      <c r="W17" s="434">
        <f t="shared" si="44"/>
        <v>282</v>
      </c>
      <c r="X17" s="435">
        <f t="shared" si="13"/>
        <v>748590</v>
      </c>
      <c r="Y17" s="436"/>
      <c r="Z17" s="437" t="str">
        <f>'고정)인적보험료집계'!A17</f>
        <v>운영팀</v>
      </c>
      <c r="AA17" s="438" t="str">
        <f t="shared" si="14"/>
        <v>전기담당</v>
      </c>
      <c r="AB17" s="439">
        <f t="shared" si="15"/>
        <v>2</v>
      </c>
      <c r="AC17" s="23">
        <f t="shared" si="16"/>
        <v>374295</v>
      </c>
      <c r="AD17" s="23">
        <f t="shared" si="17"/>
        <v>748590</v>
      </c>
    </row>
    <row r="18" spans="1:30" ht="36.75" customHeight="1">
      <c r="A18" s="404" t="str">
        <f>투입인원!A18</f>
        <v>운영팀</v>
      </c>
      <c r="B18" s="404" t="str">
        <f>투입인원!B18</f>
        <v>기계담당</v>
      </c>
      <c r="C18" s="409">
        <f>'고정)인적보험료'!N88</f>
        <v>31740</v>
      </c>
      <c r="D18" s="410">
        <f>투입인원!F18</f>
        <v>2</v>
      </c>
      <c r="E18" s="434">
        <f t="shared" si="32"/>
        <v>63480</v>
      </c>
      <c r="F18" s="409">
        <f>'고정)인적보험료'!N89</f>
        <v>158703</v>
      </c>
      <c r="G18" s="410">
        <f t="shared" si="33"/>
        <v>2</v>
      </c>
      <c r="H18" s="434">
        <f t="shared" si="34"/>
        <v>317406</v>
      </c>
      <c r="I18" s="409">
        <f>'고정)인적보험료'!N90</f>
        <v>40557</v>
      </c>
      <c r="J18" s="410">
        <f t="shared" si="35"/>
        <v>2</v>
      </c>
      <c r="K18" s="434">
        <f t="shared" si="36"/>
        <v>81114</v>
      </c>
      <c r="L18" s="409">
        <f>'고정)인적보험료'!N91</f>
        <v>125023</v>
      </c>
      <c r="M18" s="410">
        <f t="shared" si="37"/>
        <v>2</v>
      </c>
      <c r="N18" s="434">
        <f t="shared" si="38"/>
        <v>250046</v>
      </c>
      <c r="O18" s="409">
        <f>'고정)인적보험료'!N92</f>
        <v>16015</v>
      </c>
      <c r="P18" s="410">
        <f t="shared" si="39"/>
        <v>2</v>
      </c>
      <c r="Q18" s="434">
        <f t="shared" si="40"/>
        <v>32030</v>
      </c>
      <c r="R18" s="409">
        <f>'고정)인적보험료'!N93</f>
        <v>2116</v>
      </c>
      <c r="S18" s="410">
        <f t="shared" si="41"/>
        <v>2</v>
      </c>
      <c r="T18" s="434">
        <f t="shared" si="42"/>
        <v>4232</v>
      </c>
      <c r="U18" s="409">
        <f>'고정)인적보험료'!N94</f>
        <v>141</v>
      </c>
      <c r="V18" s="410">
        <f t="shared" si="43"/>
        <v>2</v>
      </c>
      <c r="W18" s="434">
        <f t="shared" si="44"/>
        <v>282</v>
      </c>
      <c r="X18" s="435">
        <f t="shared" si="13"/>
        <v>748590</v>
      </c>
      <c r="Y18" s="436"/>
      <c r="Z18" s="437" t="str">
        <f>'고정)인적보험료집계'!A18</f>
        <v>운영팀</v>
      </c>
      <c r="AA18" s="438" t="str">
        <f t="shared" si="14"/>
        <v>기계담당</v>
      </c>
      <c r="AB18" s="439">
        <f t="shared" si="15"/>
        <v>2</v>
      </c>
      <c r="AC18" s="23">
        <f t="shared" si="16"/>
        <v>374295</v>
      </c>
      <c r="AD18" s="23">
        <f t="shared" si="17"/>
        <v>748590</v>
      </c>
    </row>
    <row r="19" spans="1:30" ht="36.75" customHeight="1">
      <c r="A19" s="404" t="str">
        <f>투입인원!A19</f>
        <v>운영팀</v>
      </c>
      <c r="B19" s="404" t="str">
        <f>투입인원!B19</f>
        <v>전기담당</v>
      </c>
      <c r="C19" s="409">
        <f>'고정)인적보험료'!N96</f>
        <v>27883</v>
      </c>
      <c r="D19" s="410">
        <f>투입인원!F19</f>
        <v>1</v>
      </c>
      <c r="E19" s="434">
        <f t="shared" ref="E19:E20" si="45">SUM(C19*D19)</f>
        <v>27883</v>
      </c>
      <c r="F19" s="409">
        <f>'고정)인적보험료'!N97</f>
        <v>139417</v>
      </c>
      <c r="G19" s="410">
        <f t="shared" ref="G19:G20" si="46">D19</f>
        <v>1</v>
      </c>
      <c r="H19" s="434">
        <f t="shared" ref="H19:H20" si="47">SUM(F19*G19)</f>
        <v>139417</v>
      </c>
      <c r="I19" s="409">
        <f>'고정)인적보험료'!N98</f>
        <v>35628</v>
      </c>
      <c r="J19" s="410">
        <f t="shared" ref="J19:J20" si="48">G19</f>
        <v>1</v>
      </c>
      <c r="K19" s="434">
        <f t="shared" ref="K19:K20" si="49">SUM(I19*J19)</f>
        <v>35628</v>
      </c>
      <c r="L19" s="409">
        <f>'고정)인적보험료'!N99</f>
        <v>109830</v>
      </c>
      <c r="M19" s="410">
        <f t="shared" ref="M19:M20" si="50">J19</f>
        <v>1</v>
      </c>
      <c r="N19" s="434">
        <f t="shared" ref="N19:N20" si="51">SUM(L19*M19)</f>
        <v>109830</v>
      </c>
      <c r="O19" s="409">
        <f>'고정)인적보험료'!N100</f>
        <v>14069</v>
      </c>
      <c r="P19" s="410">
        <f t="shared" ref="P19:P20" si="52">M19</f>
        <v>1</v>
      </c>
      <c r="Q19" s="434">
        <f t="shared" ref="Q19:Q20" si="53">SUM(O19*P19)</f>
        <v>14069</v>
      </c>
      <c r="R19" s="409">
        <f>'고정)인적보험료'!N101</f>
        <v>1858</v>
      </c>
      <c r="S19" s="410">
        <f t="shared" ref="S19:S20" si="54">M19</f>
        <v>1</v>
      </c>
      <c r="T19" s="434">
        <f t="shared" ref="T19:T20" si="55">SUM(R19*S19)</f>
        <v>1858</v>
      </c>
      <c r="U19" s="409">
        <f>'고정)인적보험료'!N102</f>
        <v>123</v>
      </c>
      <c r="V19" s="410">
        <f t="shared" ref="V19:V20" si="56">P19</f>
        <v>1</v>
      </c>
      <c r="W19" s="434">
        <f t="shared" ref="W19:W20" si="57">SUM(U19*V19)</f>
        <v>123</v>
      </c>
      <c r="X19" s="435">
        <f t="shared" ref="X19:X20" si="58">SUM(T19,N19,K19,H19,Q19,E19,W19)</f>
        <v>328808</v>
      </c>
      <c r="Y19" s="436"/>
      <c r="Z19" s="437" t="str">
        <f>'고정)인적보험료집계'!A19</f>
        <v>운영팀</v>
      </c>
      <c r="AA19" s="438"/>
      <c r="AB19" s="439"/>
      <c r="AC19" s="23"/>
      <c r="AD19" s="23"/>
    </row>
    <row r="20" spans="1:30" ht="36.75" customHeight="1">
      <c r="A20" s="404" t="str">
        <f>투입인원!A20</f>
        <v>운영팀</v>
      </c>
      <c r="B20" s="404" t="str">
        <f>투입인원!B20</f>
        <v>기계담당</v>
      </c>
      <c r="C20" s="409">
        <f>'고정)인적보험료'!N104</f>
        <v>27883</v>
      </c>
      <c r="D20" s="410">
        <f>투입인원!F20</f>
        <v>1</v>
      </c>
      <c r="E20" s="434">
        <f t="shared" si="45"/>
        <v>27883</v>
      </c>
      <c r="F20" s="409">
        <f>'고정)인적보험료'!N105</f>
        <v>139417</v>
      </c>
      <c r="G20" s="410">
        <f t="shared" si="46"/>
        <v>1</v>
      </c>
      <c r="H20" s="434">
        <f t="shared" si="47"/>
        <v>139417</v>
      </c>
      <c r="I20" s="409">
        <f>'고정)인적보험료'!N106</f>
        <v>35628</v>
      </c>
      <c r="J20" s="410">
        <f t="shared" si="48"/>
        <v>1</v>
      </c>
      <c r="K20" s="434">
        <f t="shared" si="49"/>
        <v>35628</v>
      </c>
      <c r="L20" s="409">
        <f>'고정)인적보험료'!N107</f>
        <v>109830</v>
      </c>
      <c r="M20" s="410">
        <f t="shared" si="50"/>
        <v>1</v>
      </c>
      <c r="N20" s="434">
        <f t="shared" si="51"/>
        <v>109830</v>
      </c>
      <c r="O20" s="409">
        <f>'고정)인적보험료'!N108</f>
        <v>14069</v>
      </c>
      <c r="P20" s="410">
        <f t="shared" si="52"/>
        <v>1</v>
      </c>
      <c r="Q20" s="434">
        <f t="shared" si="53"/>
        <v>14069</v>
      </c>
      <c r="R20" s="409">
        <f>'고정)인적보험료'!N109</f>
        <v>1858</v>
      </c>
      <c r="S20" s="410">
        <f t="shared" si="54"/>
        <v>1</v>
      </c>
      <c r="T20" s="434">
        <f t="shared" si="55"/>
        <v>1858</v>
      </c>
      <c r="U20" s="409">
        <f>'고정)인적보험료'!N110</f>
        <v>123</v>
      </c>
      <c r="V20" s="410">
        <f t="shared" si="56"/>
        <v>1</v>
      </c>
      <c r="W20" s="434">
        <f t="shared" si="57"/>
        <v>123</v>
      </c>
      <c r="X20" s="435">
        <f t="shared" si="58"/>
        <v>328808</v>
      </c>
      <c r="Y20" s="436"/>
      <c r="Z20" s="437" t="str">
        <f>'고정)인적보험료집계'!A20</f>
        <v>운영팀</v>
      </c>
      <c r="AA20" s="438"/>
      <c r="AB20" s="439"/>
      <c r="AC20" s="23"/>
      <c r="AD20" s="23"/>
    </row>
    <row r="21" spans="1:30" ht="36.75" customHeight="1">
      <c r="A21" s="404" t="str">
        <f>투입인원!A21</f>
        <v>환경팀</v>
      </c>
      <c r="B21" s="404" t="str">
        <f>투입인원!B21</f>
        <v>환경팀장</v>
      </c>
      <c r="C21" s="409">
        <f>'고정)인적보험료'!N112</f>
        <v>27883</v>
      </c>
      <c r="D21" s="410">
        <f>투입인원!F21</f>
        <v>1</v>
      </c>
      <c r="E21" s="434">
        <f t="shared" ref="E21" si="59">SUM(C21*D21)</f>
        <v>27883</v>
      </c>
      <c r="F21" s="409">
        <f>'고정)인적보험료'!N113</f>
        <v>139417</v>
      </c>
      <c r="G21" s="410">
        <f t="shared" ref="G21" si="60">D21</f>
        <v>1</v>
      </c>
      <c r="H21" s="434">
        <f t="shared" ref="H21" si="61">SUM(F21*G21)</f>
        <v>139417</v>
      </c>
      <c r="I21" s="409">
        <f>'고정)인적보험료'!N114</f>
        <v>35628</v>
      </c>
      <c r="J21" s="410">
        <f t="shared" ref="J21" si="62">G21</f>
        <v>1</v>
      </c>
      <c r="K21" s="434">
        <f t="shared" ref="K21" si="63">SUM(I21*J21)</f>
        <v>35628</v>
      </c>
      <c r="L21" s="409">
        <f>'고정)인적보험료'!N115</f>
        <v>109830</v>
      </c>
      <c r="M21" s="410">
        <f t="shared" ref="M21" si="64">J21</f>
        <v>1</v>
      </c>
      <c r="N21" s="434">
        <f t="shared" ref="N21" si="65">SUM(L21*M21)</f>
        <v>109830</v>
      </c>
      <c r="O21" s="409">
        <f>'고정)인적보험료'!N116</f>
        <v>14069</v>
      </c>
      <c r="P21" s="410">
        <f t="shared" ref="P21" si="66">M21</f>
        <v>1</v>
      </c>
      <c r="Q21" s="434">
        <f t="shared" ref="Q21" si="67">SUM(O21*P21)</f>
        <v>14069</v>
      </c>
      <c r="R21" s="409">
        <f>'고정)인적보험료'!N117</f>
        <v>1858</v>
      </c>
      <c r="S21" s="410">
        <f t="shared" ref="S21" si="68">M21</f>
        <v>1</v>
      </c>
      <c r="T21" s="434">
        <f t="shared" ref="T21" si="69">SUM(R21*S21)</f>
        <v>1858</v>
      </c>
      <c r="U21" s="409">
        <f>'고정)인적보험료'!N118</f>
        <v>123</v>
      </c>
      <c r="V21" s="410">
        <f t="shared" ref="V21" si="70">P21</f>
        <v>1</v>
      </c>
      <c r="W21" s="434">
        <f t="shared" ref="W21" si="71">SUM(U21*V21)</f>
        <v>123</v>
      </c>
      <c r="X21" s="435">
        <f t="shared" ref="X21" si="72">SUM(T21,N21,K21,H21,Q21,E21,W21)</f>
        <v>328808</v>
      </c>
      <c r="Y21" s="436"/>
      <c r="Z21" s="437"/>
      <c r="AA21" s="438"/>
      <c r="AB21" s="439"/>
      <c r="AC21" s="23"/>
      <c r="AD21" s="23"/>
    </row>
    <row r="22" spans="1:30" ht="36.75" customHeight="1">
      <c r="A22" s="404" t="str">
        <f>투입인원!A22</f>
        <v>환경팀</v>
      </c>
      <c r="B22" s="404" t="str">
        <f>투입인원!B22</f>
        <v>환경팀원</v>
      </c>
      <c r="C22" s="409">
        <f>'고정)인적보험료'!N120</f>
        <v>24716</v>
      </c>
      <c r="D22" s="410">
        <f>투입인원!F22</f>
        <v>2</v>
      </c>
      <c r="E22" s="434">
        <f t="shared" si="32"/>
        <v>49432</v>
      </c>
      <c r="F22" s="409">
        <f>'고정)인적보험료'!N121</f>
        <v>123581</v>
      </c>
      <c r="G22" s="410">
        <f t="shared" si="33"/>
        <v>2</v>
      </c>
      <c r="H22" s="434">
        <f t="shared" si="34"/>
        <v>247162</v>
      </c>
      <c r="I22" s="409">
        <f>'고정)인적보험료'!N122</f>
        <v>31581</v>
      </c>
      <c r="J22" s="410">
        <f t="shared" si="35"/>
        <v>2</v>
      </c>
      <c r="K22" s="434">
        <f t="shared" si="36"/>
        <v>63162</v>
      </c>
      <c r="L22" s="409">
        <f>'고정)인적보험료'!N123</f>
        <v>97354</v>
      </c>
      <c r="M22" s="410">
        <f t="shared" si="37"/>
        <v>2</v>
      </c>
      <c r="N22" s="434">
        <f t="shared" si="38"/>
        <v>194708</v>
      </c>
      <c r="O22" s="409">
        <f>'고정)인적보험료'!N124</f>
        <v>12471</v>
      </c>
      <c r="P22" s="410">
        <f t="shared" si="39"/>
        <v>2</v>
      </c>
      <c r="Q22" s="434">
        <f t="shared" si="40"/>
        <v>24942</v>
      </c>
      <c r="R22" s="409">
        <f>'고정)인적보험료'!N125</f>
        <v>1647</v>
      </c>
      <c r="S22" s="410">
        <f t="shared" si="41"/>
        <v>2</v>
      </c>
      <c r="T22" s="434">
        <f t="shared" si="42"/>
        <v>3294</v>
      </c>
      <c r="U22" s="409">
        <f>'고정)인적보험료'!N126</f>
        <v>109</v>
      </c>
      <c r="V22" s="410">
        <f t="shared" si="43"/>
        <v>2</v>
      </c>
      <c r="W22" s="434">
        <f t="shared" si="44"/>
        <v>218</v>
      </c>
      <c r="X22" s="435">
        <f t="shared" si="13"/>
        <v>582918</v>
      </c>
      <c r="Y22" s="436"/>
      <c r="Z22" s="437" t="str">
        <f>'고정)인적보험료집계'!A22</f>
        <v>환경팀</v>
      </c>
      <c r="AA22" s="438" t="str">
        <f t="shared" si="14"/>
        <v>환경팀원</v>
      </c>
      <c r="AB22" s="439">
        <f t="shared" si="15"/>
        <v>2</v>
      </c>
      <c r="AC22" s="23">
        <f t="shared" si="16"/>
        <v>291459</v>
      </c>
      <c r="AD22" s="23">
        <f t="shared" si="17"/>
        <v>582918</v>
      </c>
    </row>
    <row r="23" spans="1:30" ht="36.75" customHeight="1">
      <c r="A23" s="404" t="str">
        <f>투입인원!A23</f>
        <v>운반팀</v>
      </c>
      <c r="B23" s="404" t="str">
        <f>투입인원!B23</f>
        <v>운전원</v>
      </c>
      <c r="C23" s="409">
        <f>'고정)인적보험료'!N128</f>
        <v>27883</v>
      </c>
      <c r="D23" s="410">
        <f>투입인원!F23</f>
        <v>1</v>
      </c>
      <c r="E23" s="434">
        <f t="shared" si="32"/>
        <v>27883</v>
      </c>
      <c r="F23" s="409">
        <f>'고정)인적보험료'!N129</f>
        <v>139417</v>
      </c>
      <c r="G23" s="410">
        <f t="shared" si="33"/>
        <v>1</v>
      </c>
      <c r="H23" s="434">
        <f t="shared" si="34"/>
        <v>139417</v>
      </c>
      <c r="I23" s="409">
        <f>'고정)인적보험료'!N130</f>
        <v>35628</v>
      </c>
      <c r="J23" s="410">
        <f t="shared" si="35"/>
        <v>1</v>
      </c>
      <c r="K23" s="434">
        <f t="shared" si="36"/>
        <v>35628</v>
      </c>
      <c r="L23" s="409">
        <f>'고정)인적보험료'!N131</f>
        <v>109830</v>
      </c>
      <c r="M23" s="410">
        <f t="shared" si="37"/>
        <v>1</v>
      </c>
      <c r="N23" s="434">
        <f t="shared" si="38"/>
        <v>109830</v>
      </c>
      <c r="O23" s="409">
        <f>'고정)인적보험료'!N132</f>
        <v>14069</v>
      </c>
      <c r="P23" s="410">
        <f t="shared" si="39"/>
        <v>1</v>
      </c>
      <c r="Q23" s="434">
        <f t="shared" si="40"/>
        <v>14069</v>
      </c>
      <c r="R23" s="409">
        <f>'고정)인적보험료'!N133</f>
        <v>1858</v>
      </c>
      <c r="S23" s="410">
        <f t="shared" si="41"/>
        <v>1</v>
      </c>
      <c r="T23" s="434">
        <f t="shared" si="42"/>
        <v>1858</v>
      </c>
      <c r="U23" s="409">
        <f>'고정)인적보험료'!N134</f>
        <v>123</v>
      </c>
      <c r="V23" s="410">
        <f t="shared" si="43"/>
        <v>1</v>
      </c>
      <c r="W23" s="434">
        <f t="shared" si="44"/>
        <v>123</v>
      </c>
      <c r="X23" s="435">
        <f t="shared" ref="X23:X24" si="73">SUM(T23,N23,K23,H23,Q23,E23,W23)</f>
        <v>328808</v>
      </c>
      <c r="Y23" s="436"/>
      <c r="Z23" s="437"/>
      <c r="AA23" s="438"/>
      <c r="AB23" s="439"/>
      <c r="AC23" s="23"/>
      <c r="AD23" s="23"/>
    </row>
    <row r="24" spans="1:30" ht="36.75" customHeight="1">
      <c r="A24" s="404" t="str">
        <f>투입인원!A24</f>
        <v>운반팀</v>
      </c>
      <c r="B24" s="404" t="str">
        <f>투입인원!B24</f>
        <v>운반팀원</v>
      </c>
      <c r="C24" s="409">
        <f>'고정)인적보험료'!N136</f>
        <v>24716</v>
      </c>
      <c r="D24" s="410">
        <f>투입인원!F24</f>
        <v>2</v>
      </c>
      <c r="E24" s="434">
        <f t="shared" si="32"/>
        <v>49432</v>
      </c>
      <c r="F24" s="409">
        <f>'고정)인적보험료'!N137</f>
        <v>123581</v>
      </c>
      <c r="G24" s="410">
        <f t="shared" si="33"/>
        <v>2</v>
      </c>
      <c r="H24" s="434">
        <f t="shared" si="34"/>
        <v>247162</v>
      </c>
      <c r="I24" s="409">
        <f>'고정)인적보험료'!N138</f>
        <v>31581</v>
      </c>
      <c r="J24" s="410">
        <f t="shared" si="35"/>
        <v>2</v>
      </c>
      <c r="K24" s="434">
        <f t="shared" si="36"/>
        <v>63162</v>
      </c>
      <c r="L24" s="409">
        <f>'고정)인적보험료'!N139</f>
        <v>97354</v>
      </c>
      <c r="M24" s="410">
        <f t="shared" si="37"/>
        <v>2</v>
      </c>
      <c r="N24" s="434">
        <f t="shared" si="38"/>
        <v>194708</v>
      </c>
      <c r="O24" s="409">
        <f>'고정)인적보험료'!N140</f>
        <v>12471</v>
      </c>
      <c r="P24" s="410">
        <f t="shared" si="39"/>
        <v>2</v>
      </c>
      <c r="Q24" s="434">
        <f t="shared" si="40"/>
        <v>24942</v>
      </c>
      <c r="R24" s="409">
        <f>'고정)인적보험료'!N141</f>
        <v>1647</v>
      </c>
      <c r="S24" s="410">
        <f t="shared" si="41"/>
        <v>2</v>
      </c>
      <c r="T24" s="434">
        <f t="shared" si="42"/>
        <v>3294</v>
      </c>
      <c r="U24" s="409">
        <f>'고정)인적보험료'!N142</f>
        <v>109</v>
      </c>
      <c r="V24" s="410">
        <f t="shared" si="43"/>
        <v>2</v>
      </c>
      <c r="W24" s="434">
        <f t="shared" si="44"/>
        <v>218</v>
      </c>
      <c r="X24" s="435">
        <f t="shared" si="73"/>
        <v>582918</v>
      </c>
      <c r="Y24" s="436"/>
      <c r="Z24" s="437"/>
      <c r="AA24" s="438"/>
      <c r="AB24" s="439"/>
      <c r="AC24" s="23"/>
      <c r="AD24" s="23"/>
    </row>
    <row r="25" spans="1:30" ht="36.75" customHeight="1">
      <c r="A25" s="1556" t="s">
        <v>262</v>
      </c>
      <c r="B25" s="1557"/>
      <c r="C25" s="416"/>
      <c r="D25" s="417">
        <f>SUM(D8:D24)</f>
        <v>25</v>
      </c>
      <c r="E25" s="443">
        <f>SUM(E8:E24)</f>
        <v>802882</v>
      </c>
      <c r="F25" s="416"/>
      <c r="G25" s="417">
        <f>SUM(G8:G24)</f>
        <v>25</v>
      </c>
      <c r="H25" s="443">
        <f>SUM(H8:H24)</f>
        <v>4014456</v>
      </c>
      <c r="I25" s="416"/>
      <c r="J25" s="417">
        <f>SUM(J8:J24)</f>
        <v>25</v>
      </c>
      <c r="K25" s="443">
        <f>SUM(K8:K24)</f>
        <v>1025903</v>
      </c>
      <c r="L25" s="416"/>
      <c r="M25" s="417">
        <f>SUM(M8:M24)</f>
        <v>25</v>
      </c>
      <c r="N25" s="443">
        <f>SUM(N8:N24)</f>
        <v>3162501</v>
      </c>
      <c r="O25" s="416"/>
      <c r="P25" s="417">
        <f>SUM(P8:P24)</f>
        <v>25</v>
      </c>
      <c r="Q25" s="443">
        <f>SUM(Q8:Q24)</f>
        <v>405109</v>
      </c>
      <c r="R25" s="416"/>
      <c r="S25" s="417">
        <f>SUM(S8:S24)</f>
        <v>25</v>
      </c>
      <c r="T25" s="443">
        <f>SUM(T8:T24)</f>
        <v>53511</v>
      </c>
      <c r="U25" s="416"/>
      <c r="V25" s="417">
        <f>SUM(V8:V24)</f>
        <v>25</v>
      </c>
      <c r="W25" s="443">
        <f>SUM(W8:W24)</f>
        <v>3554</v>
      </c>
      <c r="X25" s="435">
        <f t="shared" si="13"/>
        <v>9467916</v>
      </c>
      <c r="Y25" s="436"/>
      <c r="Z25" s="437" t="str">
        <f>'고정)인적보험료집계'!A25</f>
        <v>계</v>
      </c>
      <c r="AA25" s="438"/>
      <c r="AB25" s="439">
        <f>SUM(AB8:AB22)</f>
        <v>18</v>
      </c>
      <c r="AC25" s="23"/>
      <c r="AD25" s="23">
        <f>SUM(AD8:AD22)</f>
        <v>7240958</v>
      </c>
    </row>
    <row r="26" spans="1:30" ht="24.75" customHeight="1">
      <c r="A26" s="389" t="str">
        <f>"주 1) 단위(1인)당보험료 : "&amp;'고정)인적보험료'!A1&amp;'고정)인적보험료'!A2&amp;" 참조"</f>
        <v>주 1) 단위(1인)당보험료 : [ 표 : 18 ] 단위(1인)당 보험료산출표 참조</v>
      </c>
    </row>
    <row r="27" spans="1:30" ht="24.75" customHeight="1">
      <c r="A27" s="389" t="str">
        <f>"   2) 투입인원 : "&amp;투입인원!A1&amp;투입인원!A2&amp;" 참조"</f>
        <v xml:space="preserve">   2) 투입인원 : [ 표 : 12 ] 적용직종 및 근무형태 참조</v>
      </c>
    </row>
  </sheetData>
  <mergeCells count="11">
    <mergeCell ref="X5:X6"/>
    <mergeCell ref="A25:B25"/>
    <mergeCell ref="A5:A6"/>
    <mergeCell ref="B5:B6"/>
    <mergeCell ref="C5:E5"/>
    <mergeCell ref="F5:H5"/>
    <mergeCell ref="I5:K5"/>
    <mergeCell ref="L5:N5"/>
    <mergeCell ref="O5:Q5"/>
    <mergeCell ref="R5:T5"/>
    <mergeCell ref="U5:W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40" firstPageNumber="141" orientation="landscape" r:id="rId1"/>
  <headerFooter alignWithMargins="0">
    <oddFooter>&amp;C&amp;"바탕체,보통"&amp;15- &amp;P -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3"/>
  <sheetViews>
    <sheetView showGridLines="0" showZeros="0" view="pageBreakPreview" topLeftCell="A117" zoomScale="80" zoomScaleNormal="100" zoomScaleSheetLayoutView="80" workbookViewId="0">
      <selection activeCell="N143" sqref="N143"/>
    </sheetView>
  </sheetViews>
  <sheetFormatPr defaultRowHeight="12"/>
  <cols>
    <col min="1" max="1" width="18" style="67" customWidth="1"/>
    <col min="2" max="2" width="11.5546875" style="67" customWidth="1"/>
    <col min="3" max="3" width="0.88671875" style="67" customWidth="1"/>
    <col min="4" max="4" width="18.44140625" style="67" customWidth="1"/>
    <col min="5" max="5" width="0.88671875" style="67" customWidth="1"/>
    <col min="6" max="6" width="1.21875" style="67" customWidth="1"/>
    <col min="7" max="7" width="19.33203125" style="67" customWidth="1"/>
    <col min="8" max="8" width="1.21875" style="67" customWidth="1"/>
    <col min="9" max="9" width="12.44140625" style="1240" customWidth="1"/>
    <col min="10" max="12" width="12.44140625" style="1236" customWidth="1"/>
    <col min="13" max="13" width="8.21875" style="277" customWidth="1"/>
    <col min="14" max="14" width="12.44140625" style="1236" customWidth="1"/>
    <col min="15" max="15" width="10.21875" style="12" customWidth="1"/>
    <col min="16" max="16384" width="8.88671875" style="12"/>
  </cols>
  <sheetData>
    <row r="1" spans="1:20" ht="15" customHeight="1">
      <c r="A1" s="33" t="str">
        <f>"[ 표 : "&amp;P1&amp;" ] "</f>
        <v xml:space="preserve">[ 표 : 18 ] </v>
      </c>
      <c r="B1" s="33"/>
      <c r="C1" s="33"/>
      <c r="D1" s="33"/>
      <c r="E1" s="33"/>
      <c r="F1" s="33"/>
      <c r="G1" s="33"/>
      <c r="H1" s="33"/>
      <c r="I1" s="1235"/>
      <c r="P1" s="12">
        <f>'고정)인적보험료집계'!Y1+1</f>
        <v>18</v>
      </c>
    </row>
    <row r="2" spans="1:20" s="5" customFormat="1" ht="30" customHeight="1">
      <c r="A2" s="4" t="s">
        <v>257</v>
      </c>
      <c r="B2" s="4"/>
      <c r="C2" s="4"/>
      <c r="D2" s="4"/>
      <c r="E2" s="4"/>
      <c r="F2" s="419"/>
      <c r="G2" s="419"/>
      <c r="H2" s="419"/>
      <c r="I2" s="1237"/>
      <c r="J2" s="1238"/>
      <c r="K2" s="1239"/>
      <c r="L2" s="1238"/>
      <c r="M2" s="1231"/>
      <c r="N2" s="1238"/>
      <c r="O2" s="4"/>
    </row>
    <row r="3" spans="1:20" s="5" customFormat="1" ht="10.5" customHeight="1">
      <c r="A3" s="419"/>
      <c r="B3" s="419"/>
      <c r="C3" s="419"/>
      <c r="D3" s="419"/>
      <c r="E3" s="419"/>
      <c r="F3" s="419"/>
      <c r="G3" s="419"/>
      <c r="H3" s="419"/>
      <c r="I3" s="1237"/>
      <c r="J3" s="1238"/>
      <c r="K3" s="1239"/>
      <c r="L3" s="1238"/>
      <c r="M3" s="1231"/>
      <c r="N3" s="1238"/>
      <c r="O3" s="4"/>
    </row>
    <row r="4" spans="1:20" ht="15" customHeight="1">
      <c r="A4" s="69"/>
      <c r="B4" s="69"/>
      <c r="C4" s="69"/>
      <c r="D4" s="69"/>
      <c r="E4" s="69"/>
      <c r="F4" s="69"/>
      <c r="G4" s="69"/>
      <c r="H4" s="69"/>
      <c r="O4" s="422" t="s">
        <v>168</v>
      </c>
    </row>
    <row r="5" spans="1:20" ht="24.95" customHeight="1">
      <c r="A5" s="1339" t="s">
        <v>216</v>
      </c>
      <c r="B5" s="1339" t="s">
        <v>167</v>
      </c>
      <c r="C5" s="1351"/>
      <c r="D5" s="1349" t="s">
        <v>63</v>
      </c>
      <c r="E5" s="1358"/>
      <c r="F5" s="391"/>
      <c r="G5" s="1349" t="s">
        <v>68</v>
      </c>
      <c r="H5" s="357"/>
      <c r="I5" s="1567" t="s">
        <v>44</v>
      </c>
      <c r="J5" s="1568"/>
      <c r="K5" s="1568"/>
      <c r="L5" s="1569"/>
      <c r="M5" s="1570" t="s">
        <v>14</v>
      </c>
      <c r="N5" s="1565" t="s">
        <v>69</v>
      </c>
      <c r="O5" s="1339" t="s">
        <v>70</v>
      </c>
    </row>
    <row r="6" spans="1:20" ht="24.95" customHeight="1">
      <c r="A6" s="1340"/>
      <c r="B6" s="1340"/>
      <c r="C6" s="1352"/>
      <c r="D6" s="1350"/>
      <c r="E6" s="1359"/>
      <c r="F6" s="395"/>
      <c r="G6" s="1350"/>
      <c r="H6" s="396"/>
      <c r="I6" s="1242" t="s">
        <v>45</v>
      </c>
      <c r="J6" s="1243" t="s">
        <v>46</v>
      </c>
      <c r="K6" s="1243" t="s">
        <v>47</v>
      </c>
      <c r="L6" s="1243" t="s">
        <v>116</v>
      </c>
      <c r="M6" s="1571"/>
      <c r="N6" s="1566"/>
      <c r="O6" s="1340"/>
    </row>
    <row r="7" spans="1:20" ht="21" customHeight="1">
      <c r="A7" s="31"/>
      <c r="B7" s="31"/>
      <c r="C7" s="368"/>
      <c r="D7" s="424"/>
      <c r="E7" s="369"/>
      <c r="F7" s="395"/>
      <c r="G7" s="395"/>
      <c r="H7" s="396"/>
      <c r="I7" s="1242"/>
      <c r="J7" s="1243"/>
      <c r="K7" s="1243"/>
      <c r="L7" s="1244"/>
      <c r="M7" s="1232" t="s">
        <v>48</v>
      </c>
      <c r="N7" s="1250"/>
      <c r="O7" s="15"/>
      <c r="T7" s="12" t="s">
        <v>1401</v>
      </c>
    </row>
    <row r="8" spans="1:20" ht="21" customHeight="1">
      <c r="A8" s="1561" t="str">
        <f>인건비집계!$A$8</f>
        <v>관리팀</v>
      </c>
      <c r="B8" s="1563" t="str">
        <f>인건비집계!$B$8</f>
        <v>관리소장</v>
      </c>
      <c r="C8" s="1360"/>
      <c r="D8" s="1564" t="str">
        <f>인건비집계!$D$8</f>
        <v>고급기술자</v>
      </c>
      <c r="E8" s="1362"/>
      <c r="F8" s="426"/>
      <c r="G8" s="425" t="s">
        <v>148</v>
      </c>
      <c r="H8" s="427"/>
      <c r="I8" s="1245">
        <f>인건비집계!$F$8</f>
        <v>3145125</v>
      </c>
      <c r="J8" s="1245">
        <f>인건비집계!$I$8</f>
        <v>241000</v>
      </c>
      <c r="K8" s="1245">
        <f>인건비집계!$L$8</f>
        <v>1048375</v>
      </c>
      <c r="L8" s="1241">
        <f>SUM(I8:K8)</f>
        <v>4434500</v>
      </c>
      <c r="M8" s="1233">
        <f>보험료산정기준!$I$7</f>
        <v>0.9</v>
      </c>
      <c r="N8" s="1251">
        <f t="shared" ref="N8:N13" si="0">TRUNC(L8*M8%,0)</f>
        <v>39910</v>
      </c>
      <c r="O8" s="276"/>
    </row>
    <row r="9" spans="1:20" ht="21" customHeight="1">
      <c r="A9" s="1562"/>
      <c r="B9" s="1396"/>
      <c r="C9" s="1360"/>
      <c r="D9" s="1564"/>
      <c r="E9" s="1362"/>
      <c r="F9" s="368"/>
      <c r="G9" s="425" t="s">
        <v>150</v>
      </c>
      <c r="H9" s="369"/>
      <c r="I9" s="1245">
        <f t="shared" ref="I9:L11" si="1">I8</f>
        <v>3145125</v>
      </c>
      <c r="J9" s="1245">
        <f t="shared" si="1"/>
        <v>241000</v>
      </c>
      <c r="K9" s="1245">
        <f t="shared" si="1"/>
        <v>1048375</v>
      </c>
      <c r="L9" s="1245">
        <f t="shared" si="1"/>
        <v>4434500</v>
      </c>
      <c r="M9" s="1233">
        <f>보험료산정기준!$I$8</f>
        <v>4.5</v>
      </c>
      <c r="N9" s="1251">
        <f t="shared" si="0"/>
        <v>199552</v>
      </c>
      <c r="O9" s="276"/>
    </row>
    <row r="10" spans="1:20" ht="21" customHeight="1">
      <c r="A10" s="1562"/>
      <c r="B10" s="1396"/>
      <c r="C10" s="1360"/>
      <c r="D10" s="1564"/>
      <c r="E10" s="1362"/>
      <c r="F10" s="368"/>
      <c r="G10" s="425" t="s">
        <v>71</v>
      </c>
      <c r="H10" s="369"/>
      <c r="I10" s="1245">
        <f t="shared" si="1"/>
        <v>3145125</v>
      </c>
      <c r="J10" s="1245">
        <f t="shared" si="1"/>
        <v>241000</v>
      </c>
      <c r="K10" s="1245">
        <f t="shared" si="1"/>
        <v>1048375</v>
      </c>
      <c r="L10" s="1245">
        <f t="shared" si="1"/>
        <v>4434500</v>
      </c>
      <c r="M10" s="1233">
        <f>보험료산정기준!$I$9</f>
        <v>1.1499999999999999</v>
      </c>
      <c r="N10" s="1251">
        <f t="shared" si="0"/>
        <v>50996</v>
      </c>
      <c r="O10" s="276"/>
    </row>
    <row r="11" spans="1:20" ht="21" customHeight="1">
      <c r="A11" s="1562"/>
      <c r="B11" s="1396"/>
      <c r="C11" s="1360"/>
      <c r="D11" s="1564"/>
      <c r="E11" s="1362"/>
      <c r="F11" s="368"/>
      <c r="G11" s="425" t="s">
        <v>151</v>
      </c>
      <c r="H11" s="369"/>
      <c r="I11" s="1245">
        <f t="shared" si="1"/>
        <v>3145125</v>
      </c>
      <c r="J11" s="1245">
        <f t="shared" si="1"/>
        <v>241000</v>
      </c>
      <c r="K11" s="1245">
        <f t="shared" si="1"/>
        <v>1048375</v>
      </c>
      <c r="L11" s="1245">
        <f t="shared" si="1"/>
        <v>4434500</v>
      </c>
      <c r="M11" s="1233">
        <f>보험료산정기준!$I$10</f>
        <v>3.5449999999999999</v>
      </c>
      <c r="N11" s="1251">
        <f t="shared" si="0"/>
        <v>157203</v>
      </c>
      <c r="O11" s="276"/>
    </row>
    <row r="12" spans="1:20" ht="21" customHeight="1">
      <c r="A12" s="1562"/>
      <c r="B12" s="1396"/>
      <c r="C12" s="1360"/>
      <c r="D12" s="1564"/>
      <c r="E12" s="1362"/>
      <c r="F12" s="368"/>
      <c r="G12" s="425" t="s">
        <v>72</v>
      </c>
      <c r="H12" s="369"/>
      <c r="I12" s="1245"/>
      <c r="J12" s="1245"/>
      <c r="K12" s="1245"/>
      <c r="L12" s="1245">
        <f>N11</f>
        <v>157203</v>
      </c>
      <c r="M12" s="1233">
        <f>보험료산정기준!$I$11</f>
        <v>12.81</v>
      </c>
      <c r="N12" s="1251">
        <f t="shared" si="0"/>
        <v>20137</v>
      </c>
      <c r="O12" s="276"/>
    </row>
    <row r="13" spans="1:20" ht="21" customHeight="1">
      <c r="A13" s="1562"/>
      <c r="B13" s="1396"/>
      <c r="C13" s="1360"/>
      <c r="D13" s="1564"/>
      <c r="E13" s="1362"/>
      <c r="F13" s="429"/>
      <c r="G13" s="430" t="s">
        <v>149</v>
      </c>
      <c r="H13" s="68"/>
      <c r="I13" s="1245">
        <f t="shared" ref="I13:L14" si="2">I9</f>
        <v>3145125</v>
      </c>
      <c r="J13" s="1245">
        <f t="shared" si="2"/>
        <v>241000</v>
      </c>
      <c r="K13" s="1245">
        <f t="shared" si="2"/>
        <v>1048375</v>
      </c>
      <c r="L13" s="1245">
        <f t="shared" si="2"/>
        <v>4434500</v>
      </c>
      <c r="M13" s="1233">
        <f>보험료산정기준!$I$12</f>
        <v>0.06</v>
      </c>
      <c r="N13" s="1251">
        <f t="shared" si="0"/>
        <v>2660</v>
      </c>
      <c r="O13" s="276"/>
    </row>
    <row r="14" spans="1:20" ht="21" customHeight="1">
      <c r="A14" s="1562"/>
      <c r="B14" s="1396"/>
      <c r="C14" s="1360"/>
      <c r="D14" s="1564"/>
      <c r="E14" s="1362"/>
      <c r="F14" s="429"/>
      <c r="G14" s="430" t="s">
        <v>633</v>
      </c>
      <c r="H14" s="68"/>
      <c r="I14" s="1245">
        <f t="shared" si="2"/>
        <v>3145125</v>
      </c>
      <c r="J14" s="1245">
        <f t="shared" si="2"/>
        <v>241000</v>
      </c>
      <c r="K14" s="1245">
        <f t="shared" si="2"/>
        <v>1048375</v>
      </c>
      <c r="L14" s="1245">
        <f t="shared" si="2"/>
        <v>4434500</v>
      </c>
      <c r="M14" s="1233">
        <f>보험료산정기준!$I$13</f>
        <v>4.0000000000000001E-3</v>
      </c>
      <c r="N14" s="1251">
        <f>TRUNC(L14*M14%,0)</f>
        <v>177</v>
      </c>
      <c r="O14" s="276"/>
    </row>
    <row r="15" spans="1:20" ht="21" customHeight="1">
      <c r="A15" s="1562"/>
      <c r="B15" s="1396"/>
      <c r="C15" s="1360"/>
      <c r="D15" s="1564"/>
      <c r="E15" s="1362"/>
      <c r="F15" s="429"/>
      <c r="G15" s="430" t="s">
        <v>73</v>
      </c>
      <c r="H15" s="68"/>
      <c r="I15" s="1245"/>
      <c r="J15" s="1245"/>
      <c r="K15" s="1245"/>
      <c r="L15" s="1246"/>
      <c r="M15" s="1234"/>
      <c r="N15" s="1251">
        <f>SUM(N8:N14)</f>
        <v>470635</v>
      </c>
      <c r="O15" s="276"/>
    </row>
    <row r="16" spans="1:20" ht="21" customHeight="1">
      <c r="A16" s="1561" t="str">
        <f>인건비집계!$A$9</f>
        <v>관리팀</v>
      </c>
      <c r="B16" s="1563" t="str">
        <f>인건비집계!$B$9</f>
        <v>관리팀장</v>
      </c>
      <c r="C16" s="1360"/>
      <c r="D16" s="1564" t="str">
        <f>인건비집계!$D$9</f>
        <v>고급기술자</v>
      </c>
      <c r="E16" s="1362"/>
      <c r="F16" s="426"/>
      <c r="G16" s="425" t="s">
        <v>148</v>
      </c>
      <c r="H16" s="427"/>
      <c r="I16" s="1245">
        <f>인건비집계!$F$9</f>
        <v>3145125</v>
      </c>
      <c r="J16" s="1245">
        <f>인건비집계!$I$9</f>
        <v>761560</v>
      </c>
      <c r="K16" s="1245">
        <f>인건비집계!$L$9</f>
        <v>1048375</v>
      </c>
      <c r="L16" s="1241">
        <f>SUM(I16:K16)</f>
        <v>4955060</v>
      </c>
      <c r="M16" s="1233">
        <f>보험료산정기준!$I$7</f>
        <v>0.9</v>
      </c>
      <c r="N16" s="1251">
        <f t="shared" ref="N16:N21" si="3">TRUNC(L16*M16%,0)</f>
        <v>44595</v>
      </c>
      <c r="O16" s="276"/>
    </row>
    <row r="17" spans="1:15" ht="21" customHeight="1">
      <c r="A17" s="1562"/>
      <c r="B17" s="1396"/>
      <c r="C17" s="1360"/>
      <c r="D17" s="1564"/>
      <c r="E17" s="1362"/>
      <c r="F17" s="368"/>
      <c r="G17" s="425" t="s">
        <v>150</v>
      </c>
      <c r="H17" s="369"/>
      <c r="I17" s="1245">
        <f t="shared" ref="I17:L19" si="4">I16</f>
        <v>3145125</v>
      </c>
      <c r="J17" s="1245">
        <f t="shared" si="4"/>
        <v>761560</v>
      </c>
      <c r="K17" s="1245">
        <f t="shared" si="4"/>
        <v>1048375</v>
      </c>
      <c r="L17" s="1245">
        <f t="shared" si="4"/>
        <v>4955060</v>
      </c>
      <c r="M17" s="1233">
        <f>보험료산정기준!$I$8</f>
        <v>4.5</v>
      </c>
      <c r="N17" s="1251">
        <f t="shared" si="3"/>
        <v>222977</v>
      </c>
      <c r="O17" s="276"/>
    </row>
    <row r="18" spans="1:15" ht="21" customHeight="1">
      <c r="A18" s="1562"/>
      <c r="B18" s="1396"/>
      <c r="C18" s="1360"/>
      <c r="D18" s="1564"/>
      <c r="E18" s="1362"/>
      <c r="F18" s="368"/>
      <c r="G18" s="425" t="s">
        <v>71</v>
      </c>
      <c r="H18" s="369"/>
      <c r="I18" s="1245">
        <f t="shared" si="4"/>
        <v>3145125</v>
      </c>
      <c r="J18" s="1245">
        <f t="shared" si="4"/>
        <v>761560</v>
      </c>
      <c r="K18" s="1245">
        <f t="shared" si="4"/>
        <v>1048375</v>
      </c>
      <c r="L18" s="1245">
        <f t="shared" si="4"/>
        <v>4955060</v>
      </c>
      <c r="M18" s="1233">
        <f>보험료산정기준!$I$9</f>
        <v>1.1499999999999999</v>
      </c>
      <c r="N18" s="1251">
        <f t="shared" si="3"/>
        <v>56983</v>
      </c>
      <c r="O18" s="276"/>
    </row>
    <row r="19" spans="1:15" ht="21" customHeight="1">
      <c r="A19" s="1562"/>
      <c r="B19" s="1396"/>
      <c r="C19" s="1360"/>
      <c r="D19" s="1564"/>
      <c r="E19" s="1362"/>
      <c r="F19" s="368"/>
      <c r="G19" s="425" t="s">
        <v>151</v>
      </c>
      <c r="H19" s="369"/>
      <c r="I19" s="1245">
        <f t="shared" si="4"/>
        <v>3145125</v>
      </c>
      <c r="J19" s="1245">
        <f t="shared" si="4"/>
        <v>761560</v>
      </c>
      <c r="K19" s="1245">
        <f t="shared" si="4"/>
        <v>1048375</v>
      </c>
      <c r="L19" s="1245">
        <f t="shared" si="4"/>
        <v>4955060</v>
      </c>
      <c r="M19" s="1233">
        <f>보험료산정기준!$I$10</f>
        <v>3.5449999999999999</v>
      </c>
      <c r="N19" s="1251">
        <f t="shared" si="3"/>
        <v>175656</v>
      </c>
      <c r="O19" s="276"/>
    </row>
    <row r="20" spans="1:15" ht="21" customHeight="1">
      <c r="A20" s="1562"/>
      <c r="B20" s="1396"/>
      <c r="C20" s="1360"/>
      <c r="D20" s="1564"/>
      <c r="E20" s="1362"/>
      <c r="F20" s="368"/>
      <c r="G20" s="425" t="s">
        <v>72</v>
      </c>
      <c r="H20" s="369"/>
      <c r="I20" s="1245"/>
      <c r="J20" s="1245"/>
      <c r="K20" s="1245"/>
      <c r="L20" s="1245">
        <f>N19</f>
        <v>175656</v>
      </c>
      <c r="M20" s="1233">
        <f>보험료산정기준!$I$11</f>
        <v>12.81</v>
      </c>
      <c r="N20" s="1251">
        <f t="shared" si="3"/>
        <v>22501</v>
      </c>
      <c r="O20" s="276"/>
    </row>
    <row r="21" spans="1:15" ht="21" customHeight="1">
      <c r="A21" s="1562"/>
      <c r="B21" s="1396"/>
      <c r="C21" s="1360"/>
      <c r="D21" s="1564"/>
      <c r="E21" s="1362"/>
      <c r="F21" s="429"/>
      <c r="G21" s="430" t="s">
        <v>149</v>
      </c>
      <c r="H21" s="68"/>
      <c r="I21" s="1245">
        <f t="shared" ref="I21:L22" si="5">I17</f>
        <v>3145125</v>
      </c>
      <c r="J21" s="1245">
        <f t="shared" si="5"/>
        <v>761560</v>
      </c>
      <c r="K21" s="1245">
        <f t="shared" si="5"/>
        <v>1048375</v>
      </c>
      <c r="L21" s="1245">
        <f t="shared" si="5"/>
        <v>4955060</v>
      </c>
      <c r="M21" s="1233">
        <f>보험료산정기준!$I$12</f>
        <v>0.06</v>
      </c>
      <c r="N21" s="1251">
        <f t="shared" si="3"/>
        <v>2973</v>
      </c>
      <c r="O21" s="276"/>
    </row>
    <row r="22" spans="1:15" ht="21" customHeight="1">
      <c r="A22" s="1562"/>
      <c r="B22" s="1396"/>
      <c r="C22" s="1360"/>
      <c r="D22" s="1564"/>
      <c r="E22" s="1362"/>
      <c r="F22" s="429"/>
      <c r="G22" s="430" t="s">
        <v>633</v>
      </c>
      <c r="H22" s="68"/>
      <c r="I22" s="1245">
        <f t="shared" si="5"/>
        <v>3145125</v>
      </c>
      <c r="J22" s="1245">
        <f t="shared" si="5"/>
        <v>761560</v>
      </c>
      <c r="K22" s="1245">
        <f t="shared" si="5"/>
        <v>1048375</v>
      </c>
      <c r="L22" s="1245">
        <f t="shared" si="5"/>
        <v>4955060</v>
      </c>
      <c r="M22" s="1233">
        <f>보험료산정기준!$I$13</f>
        <v>4.0000000000000001E-3</v>
      </c>
      <c r="N22" s="1251">
        <f>TRUNC(L22*M22%,0)</f>
        <v>198</v>
      </c>
      <c r="O22" s="276"/>
    </row>
    <row r="23" spans="1:15" ht="21" customHeight="1">
      <c r="A23" s="1562"/>
      <c r="B23" s="1396"/>
      <c r="C23" s="1360"/>
      <c r="D23" s="1564"/>
      <c r="E23" s="1362"/>
      <c r="F23" s="429"/>
      <c r="G23" s="430" t="s">
        <v>73</v>
      </c>
      <c r="H23" s="68"/>
      <c r="I23" s="1245"/>
      <c r="J23" s="1245"/>
      <c r="K23" s="1245"/>
      <c r="L23" s="1246"/>
      <c r="M23" s="1234"/>
      <c r="N23" s="1251">
        <f>SUM(N16:N22)</f>
        <v>525883</v>
      </c>
      <c r="O23" s="276"/>
    </row>
    <row r="24" spans="1:15" ht="21" customHeight="1">
      <c r="A24" s="1561" t="str">
        <f>인건비집계!$A$10</f>
        <v>관리팀</v>
      </c>
      <c r="B24" s="1563" t="str">
        <f>인건비집계!$B$10</f>
        <v>관리팀원</v>
      </c>
      <c r="C24" s="1360"/>
      <c r="D24" s="1564" t="str">
        <f>인건비집계!$D$10</f>
        <v>초급숙련기술자</v>
      </c>
      <c r="E24" s="1362"/>
      <c r="F24" s="429"/>
      <c r="G24" s="430" t="s">
        <v>148</v>
      </c>
      <c r="H24" s="68"/>
      <c r="I24" s="1245">
        <f>인건비집계!$F$10</f>
        <v>1966517</v>
      </c>
      <c r="J24" s="1245">
        <f>인건비집계!$I$10</f>
        <v>476148</v>
      </c>
      <c r="K24" s="1245">
        <f>인건비집계!$L$10</f>
        <v>655505</v>
      </c>
      <c r="L24" s="1246">
        <f>SUM(I24:K24)</f>
        <v>3098170</v>
      </c>
      <c r="M24" s="1233">
        <f>보험료산정기준!$I$7</f>
        <v>0.9</v>
      </c>
      <c r="N24" s="1251">
        <f t="shared" ref="N24:N29" si="6">TRUNC(L24*M24%,0)</f>
        <v>27883</v>
      </c>
      <c r="O24" s="276"/>
    </row>
    <row r="25" spans="1:15" ht="21" customHeight="1">
      <c r="A25" s="1562"/>
      <c r="B25" s="1396"/>
      <c r="C25" s="1360"/>
      <c r="D25" s="1564"/>
      <c r="E25" s="1362"/>
      <c r="F25" s="429"/>
      <c r="G25" s="430" t="s">
        <v>150</v>
      </c>
      <c r="H25" s="68"/>
      <c r="I25" s="1245">
        <f t="shared" ref="I25:L25" si="7">I24</f>
        <v>1966517</v>
      </c>
      <c r="J25" s="1245">
        <f t="shared" si="7"/>
        <v>476148</v>
      </c>
      <c r="K25" s="1245">
        <f t="shared" si="7"/>
        <v>655505</v>
      </c>
      <c r="L25" s="1246">
        <f t="shared" si="7"/>
        <v>3098170</v>
      </c>
      <c r="M25" s="1233">
        <f>보험료산정기준!$I$8</f>
        <v>4.5</v>
      </c>
      <c r="N25" s="1251">
        <f t="shared" si="6"/>
        <v>139417</v>
      </c>
      <c r="O25" s="276"/>
    </row>
    <row r="26" spans="1:15" ht="21" customHeight="1">
      <c r="A26" s="1562"/>
      <c r="B26" s="1396"/>
      <c r="C26" s="1360"/>
      <c r="D26" s="1564"/>
      <c r="E26" s="1362"/>
      <c r="F26" s="429"/>
      <c r="G26" s="430" t="s">
        <v>135</v>
      </c>
      <c r="H26" s="68"/>
      <c r="I26" s="1245">
        <f t="shared" ref="I26:L26" si="8">I25</f>
        <v>1966517</v>
      </c>
      <c r="J26" s="1245">
        <f t="shared" si="8"/>
        <v>476148</v>
      </c>
      <c r="K26" s="1245">
        <f t="shared" si="8"/>
        <v>655505</v>
      </c>
      <c r="L26" s="1246">
        <f t="shared" si="8"/>
        <v>3098170</v>
      </c>
      <c r="M26" s="1233">
        <f>보험료산정기준!$I$9</f>
        <v>1.1499999999999999</v>
      </c>
      <c r="N26" s="1251">
        <f t="shared" si="6"/>
        <v>35628</v>
      </c>
      <c r="O26" s="276"/>
    </row>
    <row r="27" spans="1:15" ht="21" customHeight="1">
      <c r="A27" s="1562"/>
      <c r="B27" s="1396"/>
      <c r="C27" s="1360"/>
      <c r="D27" s="1564"/>
      <c r="E27" s="1362"/>
      <c r="F27" s="429"/>
      <c r="G27" s="430" t="s">
        <v>151</v>
      </c>
      <c r="H27" s="68"/>
      <c r="I27" s="1245">
        <f t="shared" ref="I27:L27" si="9">I26</f>
        <v>1966517</v>
      </c>
      <c r="J27" s="1245">
        <f t="shared" si="9"/>
        <v>476148</v>
      </c>
      <c r="K27" s="1245">
        <f t="shared" si="9"/>
        <v>655505</v>
      </c>
      <c r="L27" s="1246">
        <f t="shared" si="9"/>
        <v>3098170</v>
      </c>
      <c r="M27" s="1233">
        <f>보험료산정기준!$I$10</f>
        <v>3.5449999999999999</v>
      </c>
      <c r="N27" s="1251">
        <f t="shared" si="6"/>
        <v>109830</v>
      </c>
      <c r="O27" s="276"/>
    </row>
    <row r="28" spans="1:15" ht="21" customHeight="1">
      <c r="A28" s="1562"/>
      <c r="B28" s="1396"/>
      <c r="C28" s="1360"/>
      <c r="D28" s="1564"/>
      <c r="E28" s="1362"/>
      <c r="F28" s="429"/>
      <c r="G28" s="430" t="s">
        <v>210</v>
      </c>
      <c r="H28" s="68"/>
      <c r="I28" s="1245"/>
      <c r="J28" s="1245"/>
      <c r="K28" s="1245"/>
      <c r="L28" s="1246">
        <f>N27</f>
        <v>109830</v>
      </c>
      <c r="M28" s="1233">
        <f>보험료산정기준!$I$11</f>
        <v>12.81</v>
      </c>
      <c r="N28" s="1251">
        <f t="shared" si="6"/>
        <v>14069</v>
      </c>
      <c r="O28" s="276"/>
    </row>
    <row r="29" spans="1:15" ht="21" customHeight="1">
      <c r="A29" s="1562"/>
      <c r="B29" s="1396"/>
      <c r="C29" s="1360"/>
      <c r="D29" s="1564"/>
      <c r="E29" s="1362"/>
      <c r="F29" s="429"/>
      <c r="G29" s="430" t="s">
        <v>149</v>
      </c>
      <c r="H29" s="68"/>
      <c r="I29" s="1245">
        <f t="shared" ref="I29:L29" si="10">I25</f>
        <v>1966517</v>
      </c>
      <c r="J29" s="1245">
        <f t="shared" si="10"/>
        <v>476148</v>
      </c>
      <c r="K29" s="1245">
        <f t="shared" si="10"/>
        <v>655505</v>
      </c>
      <c r="L29" s="1246">
        <f t="shared" si="10"/>
        <v>3098170</v>
      </c>
      <c r="M29" s="1233">
        <f>보험료산정기준!$I$12</f>
        <v>0.06</v>
      </c>
      <c r="N29" s="1251">
        <f t="shared" si="6"/>
        <v>1858</v>
      </c>
      <c r="O29" s="276"/>
    </row>
    <row r="30" spans="1:15" ht="21" customHeight="1">
      <c r="A30" s="1562"/>
      <c r="B30" s="1396"/>
      <c r="C30" s="1360"/>
      <c r="D30" s="1564"/>
      <c r="E30" s="1362"/>
      <c r="F30" s="429"/>
      <c r="G30" s="430" t="s">
        <v>1036</v>
      </c>
      <c r="H30" s="68"/>
      <c r="I30" s="1245">
        <f t="shared" ref="I30:L30" si="11">I26</f>
        <v>1966517</v>
      </c>
      <c r="J30" s="1245">
        <f t="shared" si="11"/>
        <v>476148</v>
      </c>
      <c r="K30" s="1245">
        <f t="shared" si="11"/>
        <v>655505</v>
      </c>
      <c r="L30" s="1246">
        <f t="shared" si="11"/>
        <v>3098170</v>
      </c>
      <c r="M30" s="1234">
        <f>보험료산정기준!$I$13</f>
        <v>4.0000000000000001E-3</v>
      </c>
      <c r="N30" s="1251">
        <f>TRUNC(L30*M30%,0)</f>
        <v>123</v>
      </c>
      <c r="O30" s="276"/>
    </row>
    <row r="31" spans="1:15" ht="21" customHeight="1">
      <c r="A31" s="1562"/>
      <c r="B31" s="1396"/>
      <c r="C31" s="1360"/>
      <c r="D31" s="1564"/>
      <c r="E31" s="1362"/>
      <c r="F31" s="429"/>
      <c r="G31" s="430" t="s">
        <v>1037</v>
      </c>
      <c r="H31" s="68"/>
      <c r="I31" s="1245"/>
      <c r="J31" s="1245"/>
      <c r="K31" s="1245"/>
      <c r="L31" s="1246"/>
      <c r="M31" s="1234"/>
      <c r="N31" s="1251">
        <f>SUM(N24:N30)</f>
        <v>328808</v>
      </c>
      <c r="O31" s="276"/>
    </row>
    <row r="32" spans="1:15" ht="21" customHeight="1">
      <c r="A32" s="1561" t="str">
        <f>인건비집계!$A$11</f>
        <v>운영팀</v>
      </c>
      <c r="B32" s="1563" t="str">
        <f>인건비집계!$B$11</f>
        <v>전기팀장</v>
      </c>
      <c r="C32" s="1360"/>
      <c r="D32" s="1564" t="str">
        <f>인건비집계!$D$11</f>
        <v>중급기술자</v>
      </c>
      <c r="E32" s="1362"/>
      <c r="F32" s="426"/>
      <c r="G32" s="425" t="s">
        <v>148</v>
      </c>
      <c r="H32" s="427"/>
      <c r="I32" s="1245">
        <f>인건비집계!$F$11</f>
        <v>2641455</v>
      </c>
      <c r="J32" s="1245">
        <f>인건비집계!$I$11</f>
        <v>639584</v>
      </c>
      <c r="K32" s="1245">
        <f>인건비집계!$L$11</f>
        <v>880485</v>
      </c>
      <c r="L32" s="1241">
        <f>SUM(I32:K32)</f>
        <v>4161524</v>
      </c>
      <c r="M32" s="1233">
        <f>보험료산정기준!$I$7</f>
        <v>0.9</v>
      </c>
      <c r="N32" s="1251">
        <f t="shared" ref="N32:N37" si="12">TRUNC(L32*M32%,0)</f>
        <v>37453</v>
      </c>
      <c r="O32" s="276"/>
    </row>
    <row r="33" spans="1:15" ht="21" customHeight="1">
      <c r="A33" s="1562"/>
      <c r="B33" s="1396"/>
      <c r="C33" s="1360"/>
      <c r="D33" s="1564"/>
      <c r="E33" s="1362"/>
      <c r="F33" s="368"/>
      <c r="G33" s="425" t="s">
        <v>150</v>
      </c>
      <c r="H33" s="369"/>
      <c r="I33" s="1245">
        <f t="shared" ref="I33:L35" si="13">I32</f>
        <v>2641455</v>
      </c>
      <c r="J33" s="1245">
        <f t="shared" si="13"/>
        <v>639584</v>
      </c>
      <c r="K33" s="1245">
        <f t="shared" si="13"/>
        <v>880485</v>
      </c>
      <c r="L33" s="1245">
        <f t="shared" si="13"/>
        <v>4161524</v>
      </c>
      <c r="M33" s="1233">
        <f>보험료산정기준!$I$8</f>
        <v>4.5</v>
      </c>
      <c r="N33" s="1251">
        <f t="shared" si="12"/>
        <v>187268</v>
      </c>
      <c r="O33" s="276"/>
    </row>
    <row r="34" spans="1:15" ht="21" customHeight="1">
      <c r="A34" s="1562"/>
      <c r="B34" s="1396"/>
      <c r="C34" s="1360"/>
      <c r="D34" s="1564"/>
      <c r="E34" s="1362"/>
      <c r="F34" s="368"/>
      <c r="G34" s="425" t="s">
        <v>71</v>
      </c>
      <c r="H34" s="369"/>
      <c r="I34" s="1245">
        <f t="shared" si="13"/>
        <v>2641455</v>
      </c>
      <c r="J34" s="1245">
        <f t="shared" si="13"/>
        <v>639584</v>
      </c>
      <c r="K34" s="1245">
        <f t="shared" si="13"/>
        <v>880485</v>
      </c>
      <c r="L34" s="1245">
        <f t="shared" si="13"/>
        <v>4161524</v>
      </c>
      <c r="M34" s="1233">
        <f>보험료산정기준!$I$9</f>
        <v>1.1499999999999999</v>
      </c>
      <c r="N34" s="1251">
        <f t="shared" si="12"/>
        <v>47857</v>
      </c>
      <c r="O34" s="276"/>
    </row>
    <row r="35" spans="1:15" ht="21" customHeight="1">
      <c r="A35" s="1562"/>
      <c r="B35" s="1396"/>
      <c r="C35" s="1360"/>
      <c r="D35" s="1564"/>
      <c r="E35" s="1362"/>
      <c r="F35" s="368"/>
      <c r="G35" s="425" t="s">
        <v>151</v>
      </c>
      <c r="H35" s="369"/>
      <c r="I35" s="1245">
        <f t="shared" si="13"/>
        <v>2641455</v>
      </c>
      <c r="J35" s="1245">
        <f t="shared" si="13"/>
        <v>639584</v>
      </c>
      <c r="K35" s="1245">
        <f t="shared" si="13"/>
        <v>880485</v>
      </c>
      <c r="L35" s="1245">
        <f t="shared" si="13"/>
        <v>4161524</v>
      </c>
      <c r="M35" s="1233">
        <f>보험료산정기준!$I$10</f>
        <v>3.5449999999999999</v>
      </c>
      <c r="N35" s="1251">
        <f t="shared" si="12"/>
        <v>147526</v>
      </c>
      <c r="O35" s="276"/>
    </row>
    <row r="36" spans="1:15" ht="21" customHeight="1">
      <c r="A36" s="1562"/>
      <c r="B36" s="1396"/>
      <c r="C36" s="1360"/>
      <c r="D36" s="1564"/>
      <c r="E36" s="1362"/>
      <c r="F36" s="368"/>
      <c r="G36" s="425" t="s">
        <v>72</v>
      </c>
      <c r="H36" s="369"/>
      <c r="I36" s="1245"/>
      <c r="J36" s="1245"/>
      <c r="K36" s="1245"/>
      <c r="L36" s="1245">
        <f>N35</f>
        <v>147526</v>
      </c>
      <c r="M36" s="1233">
        <f>보험료산정기준!$I$11</f>
        <v>12.81</v>
      </c>
      <c r="N36" s="1251">
        <f t="shared" si="12"/>
        <v>18898</v>
      </c>
      <c r="O36" s="276"/>
    </row>
    <row r="37" spans="1:15" ht="21" customHeight="1">
      <c r="A37" s="1562"/>
      <c r="B37" s="1396"/>
      <c r="C37" s="1360"/>
      <c r="D37" s="1564"/>
      <c r="E37" s="1362"/>
      <c r="F37" s="429"/>
      <c r="G37" s="430" t="s">
        <v>149</v>
      </c>
      <c r="H37" s="68"/>
      <c r="I37" s="1245">
        <f t="shared" ref="I37:L38" si="14">I33</f>
        <v>2641455</v>
      </c>
      <c r="J37" s="1245">
        <f t="shared" si="14"/>
        <v>639584</v>
      </c>
      <c r="K37" s="1245">
        <f t="shared" si="14"/>
        <v>880485</v>
      </c>
      <c r="L37" s="1245">
        <f t="shared" si="14"/>
        <v>4161524</v>
      </c>
      <c r="M37" s="1233">
        <f>보험료산정기준!$I$12</f>
        <v>0.06</v>
      </c>
      <c r="N37" s="1251">
        <f t="shared" si="12"/>
        <v>2496</v>
      </c>
      <c r="O37" s="276"/>
    </row>
    <row r="38" spans="1:15" ht="21" customHeight="1">
      <c r="A38" s="1562"/>
      <c r="B38" s="1396"/>
      <c r="C38" s="1360"/>
      <c r="D38" s="1564"/>
      <c r="E38" s="1362"/>
      <c r="F38" s="429"/>
      <c r="G38" s="430" t="s">
        <v>633</v>
      </c>
      <c r="H38" s="68"/>
      <c r="I38" s="1245">
        <f t="shared" si="14"/>
        <v>2641455</v>
      </c>
      <c r="J38" s="1245">
        <f t="shared" si="14"/>
        <v>639584</v>
      </c>
      <c r="K38" s="1245">
        <f t="shared" si="14"/>
        <v>880485</v>
      </c>
      <c r="L38" s="1245">
        <f t="shared" si="14"/>
        <v>4161524</v>
      </c>
      <c r="M38" s="1233">
        <f>보험료산정기준!$I$13</f>
        <v>4.0000000000000001E-3</v>
      </c>
      <c r="N38" s="1251">
        <f>TRUNC(L38*M38%,0)</f>
        <v>166</v>
      </c>
      <c r="O38" s="276"/>
    </row>
    <row r="39" spans="1:15" ht="21" customHeight="1">
      <c r="A39" s="1562"/>
      <c r="B39" s="1396"/>
      <c r="C39" s="1360"/>
      <c r="D39" s="1564"/>
      <c r="E39" s="1362"/>
      <c r="F39" s="429"/>
      <c r="G39" s="430" t="s">
        <v>73</v>
      </c>
      <c r="H39" s="68"/>
      <c r="I39" s="1245"/>
      <c r="J39" s="1245"/>
      <c r="K39" s="1245"/>
      <c r="L39" s="1246"/>
      <c r="M39" s="1234"/>
      <c r="N39" s="1251">
        <f>SUM(N32:N38)</f>
        <v>441664</v>
      </c>
      <c r="O39" s="276"/>
    </row>
    <row r="40" spans="1:15" ht="21" customHeight="1">
      <c r="A40" s="1561" t="str">
        <f>인건비집계!$A$12</f>
        <v>운영팀</v>
      </c>
      <c r="B40" s="1563" t="str">
        <f>인건비집계!$B$12</f>
        <v>기계팀장</v>
      </c>
      <c r="C40" s="1360"/>
      <c r="D40" s="1564" t="str">
        <f>인건비집계!$D$12</f>
        <v>중급기술자</v>
      </c>
      <c r="E40" s="1362"/>
      <c r="F40" s="426"/>
      <c r="G40" s="425" t="s">
        <v>148</v>
      </c>
      <c r="H40" s="427"/>
      <c r="I40" s="1245">
        <f>인건비집계!$F$12</f>
        <v>2641455</v>
      </c>
      <c r="J40" s="1245">
        <f>인건비집계!$I$12</f>
        <v>639584</v>
      </c>
      <c r="K40" s="1245">
        <f>인건비집계!$L$12</f>
        <v>880485</v>
      </c>
      <c r="L40" s="1241">
        <f>SUM(I40:K40)</f>
        <v>4161524</v>
      </c>
      <c r="M40" s="1233">
        <f>보험료산정기준!$I$7</f>
        <v>0.9</v>
      </c>
      <c r="N40" s="1251">
        <f t="shared" ref="N40:N45" si="15">TRUNC(L40*M40%,0)</f>
        <v>37453</v>
      </c>
      <c r="O40" s="276"/>
    </row>
    <row r="41" spans="1:15" ht="21" customHeight="1">
      <c r="A41" s="1562"/>
      <c r="B41" s="1396"/>
      <c r="C41" s="1360"/>
      <c r="D41" s="1564"/>
      <c r="E41" s="1362"/>
      <c r="F41" s="368"/>
      <c r="G41" s="425" t="s">
        <v>150</v>
      </c>
      <c r="H41" s="369"/>
      <c r="I41" s="1245">
        <f t="shared" ref="I41:L43" si="16">I40</f>
        <v>2641455</v>
      </c>
      <c r="J41" s="1245">
        <f t="shared" si="16"/>
        <v>639584</v>
      </c>
      <c r="K41" s="1245">
        <f t="shared" si="16"/>
        <v>880485</v>
      </c>
      <c r="L41" s="1245">
        <f t="shared" si="16"/>
        <v>4161524</v>
      </c>
      <c r="M41" s="1233">
        <f>보험료산정기준!$I$8</f>
        <v>4.5</v>
      </c>
      <c r="N41" s="1251">
        <f t="shared" si="15"/>
        <v>187268</v>
      </c>
      <c r="O41" s="276"/>
    </row>
    <row r="42" spans="1:15" ht="21" customHeight="1">
      <c r="A42" s="1562"/>
      <c r="B42" s="1396"/>
      <c r="C42" s="1360"/>
      <c r="D42" s="1564"/>
      <c r="E42" s="1362"/>
      <c r="F42" s="368"/>
      <c r="G42" s="425" t="s">
        <v>71</v>
      </c>
      <c r="H42" s="369"/>
      <c r="I42" s="1245">
        <f t="shared" si="16"/>
        <v>2641455</v>
      </c>
      <c r="J42" s="1245">
        <f t="shared" si="16"/>
        <v>639584</v>
      </c>
      <c r="K42" s="1245">
        <f t="shared" si="16"/>
        <v>880485</v>
      </c>
      <c r="L42" s="1245">
        <f t="shared" si="16"/>
        <v>4161524</v>
      </c>
      <c r="M42" s="1233">
        <f>보험료산정기준!$I$9</f>
        <v>1.1499999999999999</v>
      </c>
      <c r="N42" s="1251">
        <f t="shared" si="15"/>
        <v>47857</v>
      </c>
      <c r="O42" s="276"/>
    </row>
    <row r="43" spans="1:15" ht="21" customHeight="1">
      <c r="A43" s="1562"/>
      <c r="B43" s="1396"/>
      <c r="C43" s="1360"/>
      <c r="D43" s="1564"/>
      <c r="E43" s="1362"/>
      <c r="F43" s="368"/>
      <c r="G43" s="425" t="s">
        <v>151</v>
      </c>
      <c r="H43" s="369"/>
      <c r="I43" s="1245">
        <f t="shared" si="16"/>
        <v>2641455</v>
      </c>
      <c r="J43" s="1245">
        <f t="shared" si="16"/>
        <v>639584</v>
      </c>
      <c r="K43" s="1245">
        <f t="shared" si="16"/>
        <v>880485</v>
      </c>
      <c r="L43" s="1245">
        <f t="shared" si="16"/>
        <v>4161524</v>
      </c>
      <c r="M43" s="1233">
        <f>보험료산정기준!$I$10</f>
        <v>3.5449999999999999</v>
      </c>
      <c r="N43" s="1251">
        <f t="shared" si="15"/>
        <v>147526</v>
      </c>
      <c r="O43" s="276"/>
    </row>
    <row r="44" spans="1:15" ht="21" customHeight="1">
      <c r="A44" s="1562"/>
      <c r="B44" s="1396"/>
      <c r="C44" s="1360"/>
      <c r="D44" s="1564"/>
      <c r="E44" s="1362"/>
      <c r="F44" s="368"/>
      <c r="G44" s="425" t="s">
        <v>72</v>
      </c>
      <c r="H44" s="369"/>
      <c r="I44" s="1245"/>
      <c r="J44" s="1245"/>
      <c r="K44" s="1245"/>
      <c r="L44" s="1245">
        <f>N43</f>
        <v>147526</v>
      </c>
      <c r="M44" s="1233">
        <f>보험료산정기준!$I$11</f>
        <v>12.81</v>
      </c>
      <c r="N44" s="1251">
        <f t="shared" si="15"/>
        <v>18898</v>
      </c>
      <c r="O44" s="276"/>
    </row>
    <row r="45" spans="1:15" ht="21" customHeight="1">
      <c r="A45" s="1562"/>
      <c r="B45" s="1396"/>
      <c r="C45" s="1360"/>
      <c r="D45" s="1564"/>
      <c r="E45" s="1362"/>
      <c r="F45" s="429"/>
      <c r="G45" s="430" t="s">
        <v>149</v>
      </c>
      <c r="H45" s="68"/>
      <c r="I45" s="1245">
        <f t="shared" ref="I45:L46" si="17">I41</f>
        <v>2641455</v>
      </c>
      <c r="J45" s="1245">
        <f t="shared" si="17"/>
        <v>639584</v>
      </c>
      <c r="K45" s="1245">
        <f t="shared" si="17"/>
        <v>880485</v>
      </c>
      <c r="L45" s="1245">
        <f t="shared" si="17"/>
        <v>4161524</v>
      </c>
      <c r="M45" s="1233">
        <f>보험료산정기준!$I$12</f>
        <v>0.06</v>
      </c>
      <c r="N45" s="1251">
        <f t="shared" si="15"/>
        <v>2496</v>
      </c>
      <c r="O45" s="276"/>
    </row>
    <row r="46" spans="1:15" ht="21" customHeight="1">
      <c r="A46" s="1562"/>
      <c r="B46" s="1396"/>
      <c r="C46" s="1360"/>
      <c r="D46" s="1564"/>
      <c r="E46" s="1362"/>
      <c r="F46" s="429"/>
      <c r="G46" s="430" t="s">
        <v>633</v>
      </c>
      <c r="H46" s="68"/>
      <c r="I46" s="1245">
        <f t="shared" si="17"/>
        <v>2641455</v>
      </c>
      <c r="J46" s="1245">
        <f t="shared" si="17"/>
        <v>639584</v>
      </c>
      <c r="K46" s="1245">
        <f t="shared" si="17"/>
        <v>880485</v>
      </c>
      <c r="L46" s="1245">
        <f t="shared" si="17"/>
        <v>4161524</v>
      </c>
      <c r="M46" s="1233">
        <f>보험료산정기준!$I$13</f>
        <v>4.0000000000000001E-3</v>
      </c>
      <c r="N46" s="1251">
        <f>TRUNC(L46*M46%,0)</f>
        <v>166</v>
      </c>
      <c r="O46" s="276"/>
    </row>
    <row r="47" spans="1:15" ht="21" customHeight="1">
      <c r="A47" s="1562"/>
      <c r="B47" s="1396"/>
      <c r="C47" s="1360"/>
      <c r="D47" s="1564"/>
      <c r="E47" s="1362"/>
      <c r="F47" s="429"/>
      <c r="G47" s="430" t="s">
        <v>73</v>
      </c>
      <c r="H47" s="68"/>
      <c r="I47" s="1245"/>
      <c r="J47" s="1245"/>
      <c r="K47" s="1245"/>
      <c r="L47" s="1246"/>
      <c r="M47" s="1234"/>
      <c r="N47" s="1251">
        <f>SUM(N40:N46)</f>
        <v>441664</v>
      </c>
      <c r="O47" s="276"/>
    </row>
    <row r="48" spans="1:15" ht="21" customHeight="1">
      <c r="A48" s="1561" t="str">
        <f>인건비집계!$A$13</f>
        <v>운영팀</v>
      </c>
      <c r="B48" s="1563" t="str">
        <f>인건비집계!$B$13</f>
        <v>전기담당</v>
      </c>
      <c r="C48" s="1360"/>
      <c r="D48" s="1564" t="str">
        <f>인건비집계!$D$13</f>
        <v>초급기술자</v>
      </c>
      <c r="E48" s="1362"/>
      <c r="F48" s="426"/>
      <c r="G48" s="425" t="s">
        <v>148</v>
      </c>
      <c r="H48" s="427"/>
      <c r="I48" s="1245">
        <f>인건비집계!$F$13</f>
        <v>2327017</v>
      </c>
      <c r="J48" s="1245">
        <f>인건비집계!$I$13</f>
        <v>563459</v>
      </c>
      <c r="K48" s="1245">
        <f>인건비집계!$L$13</f>
        <v>775672</v>
      </c>
      <c r="L48" s="1241">
        <f>SUM(I48:K48)</f>
        <v>3666148</v>
      </c>
      <c r="M48" s="1233">
        <f>보험료산정기준!$I$7</f>
        <v>0.9</v>
      </c>
      <c r="N48" s="1251">
        <f t="shared" ref="N48:N53" si="18">TRUNC(L48*M48%,0)</f>
        <v>32995</v>
      </c>
      <c r="O48" s="276"/>
    </row>
    <row r="49" spans="1:15" ht="21" customHeight="1">
      <c r="A49" s="1562"/>
      <c r="B49" s="1396"/>
      <c r="C49" s="1360"/>
      <c r="D49" s="1564"/>
      <c r="E49" s="1362"/>
      <c r="F49" s="368"/>
      <c r="G49" s="425" t="s">
        <v>150</v>
      </c>
      <c r="H49" s="369"/>
      <c r="I49" s="1245">
        <f t="shared" ref="I49:L51" si="19">I48</f>
        <v>2327017</v>
      </c>
      <c r="J49" s="1245">
        <f t="shared" si="19"/>
        <v>563459</v>
      </c>
      <c r="K49" s="1245">
        <f t="shared" si="19"/>
        <v>775672</v>
      </c>
      <c r="L49" s="1245">
        <f t="shared" si="19"/>
        <v>3666148</v>
      </c>
      <c r="M49" s="1233">
        <f>보험료산정기준!$I$8</f>
        <v>4.5</v>
      </c>
      <c r="N49" s="1251">
        <f t="shared" si="18"/>
        <v>164976</v>
      </c>
      <c r="O49" s="276"/>
    </row>
    <row r="50" spans="1:15" ht="21" customHeight="1">
      <c r="A50" s="1562"/>
      <c r="B50" s="1396"/>
      <c r="C50" s="1360"/>
      <c r="D50" s="1564"/>
      <c r="E50" s="1362"/>
      <c r="F50" s="368"/>
      <c r="G50" s="425" t="s">
        <v>71</v>
      </c>
      <c r="H50" s="369"/>
      <c r="I50" s="1245">
        <f t="shared" si="19"/>
        <v>2327017</v>
      </c>
      <c r="J50" s="1245">
        <f t="shared" si="19"/>
        <v>563459</v>
      </c>
      <c r="K50" s="1245">
        <f t="shared" si="19"/>
        <v>775672</v>
      </c>
      <c r="L50" s="1245">
        <f t="shared" si="19"/>
        <v>3666148</v>
      </c>
      <c r="M50" s="1233">
        <f>보험료산정기준!$I$9</f>
        <v>1.1499999999999999</v>
      </c>
      <c r="N50" s="1251">
        <f t="shared" si="18"/>
        <v>42160</v>
      </c>
      <c r="O50" s="276"/>
    </row>
    <row r="51" spans="1:15" ht="21" customHeight="1">
      <c r="A51" s="1562"/>
      <c r="B51" s="1396"/>
      <c r="C51" s="1360"/>
      <c r="D51" s="1564"/>
      <c r="E51" s="1362"/>
      <c r="F51" s="368"/>
      <c r="G51" s="425" t="s">
        <v>151</v>
      </c>
      <c r="H51" s="369"/>
      <c r="I51" s="1245">
        <f t="shared" si="19"/>
        <v>2327017</v>
      </c>
      <c r="J51" s="1245">
        <f t="shared" si="19"/>
        <v>563459</v>
      </c>
      <c r="K51" s="1245">
        <f t="shared" si="19"/>
        <v>775672</v>
      </c>
      <c r="L51" s="1245">
        <f t="shared" si="19"/>
        <v>3666148</v>
      </c>
      <c r="M51" s="1233">
        <f>보험료산정기준!$I$10</f>
        <v>3.5449999999999999</v>
      </c>
      <c r="N51" s="1251">
        <f t="shared" si="18"/>
        <v>129964</v>
      </c>
      <c r="O51" s="276"/>
    </row>
    <row r="52" spans="1:15" ht="21" customHeight="1">
      <c r="A52" s="1562"/>
      <c r="B52" s="1396"/>
      <c r="C52" s="1360"/>
      <c r="D52" s="1564"/>
      <c r="E52" s="1362"/>
      <c r="F52" s="368"/>
      <c r="G52" s="425" t="s">
        <v>72</v>
      </c>
      <c r="H52" s="369"/>
      <c r="I52" s="1245"/>
      <c r="J52" s="1245"/>
      <c r="K52" s="1245"/>
      <c r="L52" s="1245">
        <f>N51</f>
        <v>129964</v>
      </c>
      <c r="M52" s="1233">
        <f>보험료산정기준!$I$11</f>
        <v>12.81</v>
      </c>
      <c r="N52" s="1251">
        <f t="shared" si="18"/>
        <v>16648</v>
      </c>
      <c r="O52" s="276"/>
    </row>
    <row r="53" spans="1:15" ht="21" customHeight="1">
      <c r="A53" s="1562"/>
      <c r="B53" s="1396"/>
      <c r="C53" s="1360"/>
      <c r="D53" s="1564"/>
      <c r="E53" s="1362"/>
      <c r="F53" s="429"/>
      <c r="G53" s="430" t="s">
        <v>149</v>
      </c>
      <c r="H53" s="68"/>
      <c r="I53" s="1245">
        <f t="shared" ref="I53:L54" si="20">I49</f>
        <v>2327017</v>
      </c>
      <c r="J53" s="1245">
        <f t="shared" si="20"/>
        <v>563459</v>
      </c>
      <c r="K53" s="1245">
        <f t="shared" si="20"/>
        <v>775672</v>
      </c>
      <c r="L53" s="1245">
        <f t="shared" si="20"/>
        <v>3666148</v>
      </c>
      <c r="M53" s="1233">
        <f>보험료산정기준!$I$12</f>
        <v>0.06</v>
      </c>
      <c r="N53" s="1251">
        <f t="shared" si="18"/>
        <v>2199</v>
      </c>
      <c r="O53" s="276"/>
    </row>
    <row r="54" spans="1:15" ht="21" customHeight="1">
      <c r="A54" s="1562"/>
      <c r="B54" s="1396"/>
      <c r="C54" s="1360"/>
      <c r="D54" s="1564"/>
      <c r="E54" s="1362"/>
      <c r="F54" s="429"/>
      <c r="G54" s="430" t="s">
        <v>633</v>
      </c>
      <c r="H54" s="68"/>
      <c r="I54" s="1245">
        <f t="shared" si="20"/>
        <v>2327017</v>
      </c>
      <c r="J54" s="1245">
        <f t="shared" si="20"/>
        <v>563459</v>
      </c>
      <c r="K54" s="1245">
        <f t="shared" si="20"/>
        <v>775672</v>
      </c>
      <c r="L54" s="1245">
        <f t="shared" si="20"/>
        <v>3666148</v>
      </c>
      <c r="M54" s="1233">
        <f>보험료산정기준!$I$13</f>
        <v>4.0000000000000001E-3</v>
      </c>
      <c r="N54" s="1251">
        <f>TRUNC(L54*M54%,0)</f>
        <v>146</v>
      </c>
      <c r="O54" s="276"/>
    </row>
    <row r="55" spans="1:15" ht="21" customHeight="1">
      <c r="A55" s="1562"/>
      <c r="B55" s="1396"/>
      <c r="C55" s="1360"/>
      <c r="D55" s="1564"/>
      <c r="E55" s="1362"/>
      <c r="F55" s="429"/>
      <c r="G55" s="430" t="s">
        <v>73</v>
      </c>
      <c r="H55" s="68"/>
      <c r="I55" s="1245"/>
      <c r="J55" s="1245"/>
      <c r="K55" s="1245"/>
      <c r="L55" s="1246"/>
      <c r="M55" s="1234"/>
      <c r="N55" s="1251">
        <f>SUM(N48:N54)</f>
        <v>389088</v>
      </c>
      <c r="O55" s="276"/>
    </row>
    <row r="56" spans="1:15" ht="21" customHeight="1">
      <c r="A56" s="1561" t="str">
        <f>인건비집계!$A$14</f>
        <v>운영팀</v>
      </c>
      <c r="B56" s="1563" t="str">
        <f>인건비집계!$B$14</f>
        <v>기계담당</v>
      </c>
      <c r="C56" s="1360"/>
      <c r="D56" s="1564" t="str">
        <f>인건비집계!$D$14</f>
        <v>초급기술자</v>
      </c>
      <c r="E56" s="1362"/>
      <c r="F56" s="426"/>
      <c r="G56" s="425" t="s">
        <v>148</v>
      </c>
      <c r="H56" s="427"/>
      <c r="I56" s="1245">
        <f>인건비집계!$F$14</f>
        <v>2327017</v>
      </c>
      <c r="J56" s="1245">
        <f>인건비집계!$I$14</f>
        <v>563459</v>
      </c>
      <c r="K56" s="1245">
        <f>인건비집계!$L$14</f>
        <v>775672</v>
      </c>
      <c r="L56" s="1241">
        <f>SUM(I56:K56)</f>
        <v>3666148</v>
      </c>
      <c r="M56" s="1233">
        <f>보험료산정기준!$I$7</f>
        <v>0.9</v>
      </c>
      <c r="N56" s="1251">
        <f t="shared" ref="N56:N61" si="21">TRUNC(L56*M56%,0)</f>
        <v>32995</v>
      </c>
      <c r="O56" s="276"/>
    </row>
    <row r="57" spans="1:15" ht="21" customHeight="1">
      <c r="A57" s="1562"/>
      <c r="B57" s="1396"/>
      <c r="C57" s="1360"/>
      <c r="D57" s="1564"/>
      <c r="E57" s="1362"/>
      <c r="F57" s="368"/>
      <c r="G57" s="425" t="s">
        <v>150</v>
      </c>
      <c r="H57" s="369"/>
      <c r="I57" s="1245">
        <f t="shared" ref="I57:L59" si="22">I56</f>
        <v>2327017</v>
      </c>
      <c r="J57" s="1245">
        <f t="shared" si="22"/>
        <v>563459</v>
      </c>
      <c r="K57" s="1245">
        <f t="shared" si="22"/>
        <v>775672</v>
      </c>
      <c r="L57" s="1245">
        <f t="shared" si="22"/>
        <v>3666148</v>
      </c>
      <c r="M57" s="1233">
        <f>보험료산정기준!$I$8</f>
        <v>4.5</v>
      </c>
      <c r="N57" s="1251">
        <f t="shared" si="21"/>
        <v>164976</v>
      </c>
      <c r="O57" s="276"/>
    </row>
    <row r="58" spans="1:15" ht="21" customHeight="1">
      <c r="A58" s="1562"/>
      <c r="B58" s="1396"/>
      <c r="C58" s="1360"/>
      <c r="D58" s="1564"/>
      <c r="E58" s="1362"/>
      <c r="F58" s="368"/>
      <c r="G58" s="425" t="s">
        <v>71</v>
      </c>
      <c r="H58" s="369"/>
      <c r="I58" s="1245">
        <f t="shared" si="22"/>
        <v>2327017</v>
      </c>
      <c r="J58" s="1245">
        <f t="shared" si="22"/>
        <v>563459</v>
      </c>
      <c r="K58" s="1245">
        <f t="shared" si="22"/>
        <v>775672</v>
      </c>
      <c r="L58" s="1245">
        <f t="shared" si="22"/>
        <v>3666148</v>
      </c>
      <c r="M58" s="1233">
        <f>보험료산정기준!$I$9</f>
        <v>1.1499999999999999</v>
      </c>
      <c r="N58" s="1251">
        <f t="shared" si="21"/>
        <v>42160</v>
      </c>
      <c r="O58" s="276"/>
    </row>
    <row r="59" spans="1:15" ht="21" customHeight="1">
      <c r="A59" s="1562"/>
      <c r="B59" s="1396"/>
      <c r="C59" s="1360"/>
      <c r="D59" s="1564"/>
      <c r="E59" s="1362"/>
      <c r="F59" s="368"/>
      <c r="G59" s="425" t="s">
        <v>151</v>
      </c>
      <c r="H59" s="369"/>
      <c r="I59" s="1245">
        <f t="shared" si="22"/>
        <v>2327017</v>
      </c>
      <c r="J59" s="1245">
        <f t="shared" si="22"/>
        <v>563459</v>
      </c>
      <c r="K59" s="1245">
        <f t="shared" si="22"/>
        <v>775672</v>
      </c>
      <c r="L59" s="1245">
        <f t="shared" si="22"/>
        <v>3666148</v>
      </c>
      <c r="M59" s="1233">
        <f>보험료산정기준!$I$10</f>
        <v>3.5449999999999999</v>
      </c>
      <c r="N59" s="1251">
        <f t="shared" si="21"/>
        <v>129964</v>
      </c>
      <c r="O59" s="276"/>
    </row>
    <row r="60" spans="1:15" ht="21" customHeight="1">
      <c r="A60" s="1562"/>
      <c r="B60" s="1396"/>
      <c r="C60" s="1360"/>
      <c r="D60" s="1564"/>
      <c r="E60" s="1362"/>
      <c r="F60" s="368"/>
      <c r="G60" s="425" t="s">
        <v>72</v>
      </c>
      <c r="H60" s="369"/>
      <c r="I60" s="1245"/>
      <c r="J60" s="1245"/>
      <c r="K60" s="1245"/>
      <c r="L60" s="1245">
        <f>N59</f>
        <v>129964</v>
      </c>
      <c r="M60" s="1233">
        <f>보험료산정기준!$I$11</f>
        <v>12.81</v>
      </c>
      <c r="N60" s="1251">
        <f t="shared" si="21"/>
        <v>16648</v>
      </c>
      <c r="O60" s="276"/>
    </row>
    <row r="61" spans="1:15" ht="21" customHeight="1">
      <c r="A61" s="1562"/>
      <c r="B61" s="1396"/>
      <c r="C61" s="1360"/>
      <c r="D61" s="1564"/>
      <c r="E61" s="1362"/>
      <c r="F61" s="429"/>
      <c r="G61" s="430" t="s">
        <v>149</v>
      </c>
      <c r="H61" s="68"/>
      <c r="I61" s="1245">
        <f t="shared" ref="I61:L62" si="23">I57</f>
        <v>2327017</v>
      </c>
      <c r="J61" s="1245">
        <f t="shared" si="23"/>
        <v>563459</v>
      </c>
      <c r="K61" s="1245">
        <f t="shared" si="23"/>
        <v>775672</v>
      </c>
      <c r="L61" s="1245">
        <f t="shared" si="23"/>
        <v>3666148</v>
      </c>
      <c r="M61" s="1233">
        <f>보험료산정기준!$I$12</f>
        <v>0.06</v>
      </c>
      <c r="N61" s="1251">
        <f t="shared" si="21"/>
        <v>2199</v>
      </c>
      <c r="O61" s="276"/>
    </row>
    <row r="62" spans="1:15" ht="21" customHeight="1">
      <c r="A62" s="1562"/>
      <c r="B62" s="1396"/>
      <c r="C62" s="1360"/>
      <c r="D62" s="1564"/>
      <c r="E62" s="1362"/>
      <c r="F62" s="429"/>
      <c r="G62" s="430" t="s">
        <v>633</v>
      </c>
      <c r="H62" s="68"/>
      <c r="I62" s="1245">
        <f t="shared" si="23"/>
        <v>2327017</v>
      </c>
      <c r="J62" s="1245">
        <f t="shared" si="23"/>
        <v>563459</v>
      </c>
      <c r="K62" s="1245">
        <f t="shared" si="23"/>
        <v>775672</v>
      </c>
      <c r="L62" s="1245">
        <f t="shared" si="23"/>
        <v>3666148</v>
      </c>
      <c r="M62" s="1233">
        <f>보험료산정기준!$I$13</f>
        <v>4.0000000000000001E-3</v>
      </c>
      <c r="N62" s="1251">
        <f>TRUNC(L62*M62%,0)</f>
        <v>146</v>
      </c>
      <c r="O62" s="276"/>
    </row>
    <row r="63" spans="1:15" ht="21" customHeight="1">
      <c r="A63" s="1562"/>
      <c r="B63" s="1396"/>
      <c r="C63" s="1360"/>
      <c r="D63" s="1564"/>
      <c r="E63" s="1362"/>
      <c r="F63" s="429"/>
      <c r="G63" s="430" t="s">
        <v>73</v>
      </c>
      <c r="H63" s="68"/>
      <c r="I63" s="1245"/>
      <c r="J63" s="1245"/>
      <c r="K63" s="1245"/>
      <c r="L63" s="1246"/>
      <c r="M63" s="1234"/>
      <c r="N63" s="1251">
        <f>SUM(N56:N62)</f>
        <v>389088</v>
      </c>
      <c r="O63" s="276"/>
    </row>
    <row r="64" spans="1:15" ht="21" customHeight="1">
      <c r="A64" s="1561" t="str">
        <f>인건비집계!$A$15</f>
        <v>운영팀</v>
      </c>
      <c r="B64" s="1563" t="str">
        <f>인건비집계!$B$15</f>
        <v>전기담당</v>
      </c>
      <c r="C64" s="1360"/>
      <c r="D64" s="1564" t="str">
        <f>인건비집계!$D$15</f>
        <v>고급숙련기술자</v>
      </c>
      <c r="E64" s="1362"/>
      <c r="F64" s="426"/>
      <c r="G64" s="425" t="s">
        <v>148</v>
      </c>
      <c r="H64" s="427"/>
      <c r="I64" s="1245">
        <f>인건비집계!$F$15</f>
        <v>2515878</v>
      </c>
      <c r="J64" s="1245">
        <f>인건비집계!$I$15</f>
        <v>609184</v>
      </c>
      <c r="K64" s="1245">
        <f>인건비집계!$L$15</f>
        <v>838626</v>
      </c>
      <c r="L64" s="1241">
        <f>SUM(I64:K64)</f>
        <v>3963688</v>
      </c>
      <c r="M64" s="1233">
        <f>보험료산정기준!$I$7</f>
        <v>0.9</v>
      </c>
      <c r="N64" s="1251">
        <f t="shared" ref="N64:N69" si="24">TRUNC(L64*M64%,0)</f>
        <v>35673</v>
      </c>
      <c r="O64" s="276"/>
    </row>
    <row r="65" spans="1:15" ht="21" customHeight="1">
      <c r="A65" s="1562"/>
      <c r="B65" s="1396"/>
      <c r="C65" s="1360"/>
      <c r="D65" s="1564"/>
      <c r="E65" s="1362"/>
      <c r="F65" s="368"/>
      <c r="G65" s="425" t="s">
        <v>150</v>
      </c>
      <c r="H65" s="369"/>
      <c r="I65" s="1245">
        <f t="shared" ref="I65:L67" si="25">I64</f>
        <v>2515878</v>
      </c>
      <c r="J65" s="1245">
        <f t="shared" si="25"/>
        <v>609184</v>
      </c>
      <c r="K65" s="1245">
        <f t="shared" si="25"/>
        <v>838626</v>
      </c>
      <c r="L65" s="1245">
        <f t="shared" si="25"/>
        <v>3963688</v>
      </c>
      <c r="M65" s="1233">
        <f>보험료산정기준!$I$8</f>
        <v>4.5</v>
      </c>
      <c r="N65" s="1251">
        <f t="shared" si="24"/>
        <v>178365</v>
      </c>
      <c r="O65" s="276"/>
    </row>
    <row r="66" spans="1:15" ht="21" customHeight="1">
      <c r="A66" s="1562"/>
      <c r="B66" s="1396"/>
      <c r="C66" s="1360"/>
      <c r="D66" s="1564"/>
      <c r="E66" s="1362"/>
      <c r="F66" s="368"/>
      <c r="G66" s="425" t="s">
        <v>71</v>
      </c>
      <c r="H66" s="369"/>
      <c r="I66" s="1245">
        <f t="shared" si="25"/>
        <v>2515878</v>
      </c>
      <c r="J66" s="1245">
        <f t="shared" si="25"/>
        <v>609184</v>
      </c>
      <c r="K66" s="1245">
        <f t="shared" si="25"/>
        <v>838626</v>
      </c>
      <c r="L66" s="1245">
        <f t="shared" si="25"/>
        <v>3963688</v>
      </c>
      <c r="M66" s="1233">
        <f>보험료산정기준!$I$9</f>
        <v>1.1499999999999999</v>
      </c>
      <c r="N66" s="1251">
        <f t="shared" si="24"/>
        <v>45582</v>
      </c>
      <c r="O66" s="276"/>
    </row>
    <row r="67" spans="1:15" ht="21" customHeight="1">
      <c r="A67" s="1562"/>
      <c r="B67" s="1396"/>
      <c r="C67" s="1360"/>
      <c r="D67" s="1564"/>
      <c r="E67" s="1362"/>
      <c r="F67" s="368"/>
      <c r="G67" s="425" t="s">
        <v>151</v>
      </c>
      <c r="H67" s="369"/>
      <c r="I67" s="1245">
        <f t="shared" si="25"/>
        <v>2515878</v>
      </c>
      <c r="J67" s="1245">
        <f t="shared" si="25"/>
        <v>609184</v>
      </c>
      <c r="K67" s="1245">
        <f t="shared" si="25"/>
        <v>838626</v>
      </c>
      <c r="L67" s="1245">
        <f t="shared" si="25"/>
        <v>3963688</v>
      </c>
      <c r="M67" s="1233">
        <f>보험료산정기준!$I$10</f>
        <v>3.5449999999999999</v>
      </c>
      <c r="N67" s="1251">
        <f t="shared" si="24"/>
        <v>140512</v>
      </c>
      <c r="O67" s="276"/>
    </row>
    <row r="68" spans="1:15" ht="21" customHeight="1">
      <c r="A68" s="1562"/>
      <c r="B68" s="1396"/>
      <c r="C68" s="1360"/>
      <c r="D68" s="1564"/>
      <c r="E68" s="1362"/>
      <c r="F68" s="368"/>
      <c r="G68" s="425" t="s">
        <v>72</v>
      </c>
      <c r="H68" s="369"/>
      <c r="I68" s="1245"/>
      <c r="J68" s="1245"/>
      <c r="K68" s="1245"/>
      <c r="L68" s="1245">
        <f>N67</f>
        <v>140512</v>
      </c>
      <c r="M68" s="1233">
        <f>보험료산정기준!$I$11</f>
        <v>12.81</v>
      </c>
      <c r="N68" s="1251">
        <f t="shared" si="24"/>
        <v>17999</v>
      </c>
      <c r="O68" s="276"/>
    </row>
    <row r="69" spans="1:15" ht="21" customHeight="1">
      <c r="A69" s="1562"/>
      <c r="B69" s="1396"/>
      <c r="C69" s="1360"/>
      <c r="D69" s="1564"/>
      <c r="E69" s="1362"/>
      <c r="F69" s="429"/>
      <c r="G69" s="430" t="s">
        <v>149</v>
      </c>
      <c r="H69" s="68"/>
      <c r="I69" s="1245">
        <f t="shared" ref="I69:L70" si="26">I65</f>
        <v>2515878</v>
      </c>
      <c r="J69" s="1245">
        <f t="shared" si="26"/>
        <v>609184</v>
      </c>
      <c r="K69" s="1245">
        <f t="shared" si="26"/>
        <v>838626</v>
      </c>
      <c r="L69" s="1245">
        <f t="shared" si="26"/>
        <v>3963688</v>
      </c>
      <c r="M69" s="1233">
        <f>보험료산정기준!$I$12</f>
        <v>0.06</v>
      </c>
      <c r="N69" s="1251">
        <f t="shared" si="24"/>
        <v>2378</v>
      </c>
      <c r="O69" s="276"/>
    </row>
    <row r="70" spans="1:15" ht="21" customHeight="1">
      <c r="A70" s="1562"/>
      <c r="B70" s="1396"/>
      <c r="C70" s="1360"/>
      <c r="D70" s="1564"/>
      <c r="E70" s="1362"/>
      <c r="F70" s="429"/>
      <c r="G70" s="430" t="s">
        <v>633</v>
      </c>
      <c r="H70" s="68"/>
      <c r="I70" s="1245">
        <f t="shared" si="26"/>
        <v>2515878</v>
      </c>
      <c r="J70" s="1245">
        <f t="shared" si="26"/>
        <v>609184</v>
      </c>
      <c r="K70" s="1245">
        <f t="shared" si="26"/>
        <v>838626</v>
      </c>
      <c r="L70" s="1245">
        <f t="shared" si="26"/>
        <v>3963688</v>
      </c>
      <c r="M70" s="1233">
        <f>보험료산정기준!$I$13</f>
        <v>4.0000000000000001E-3</v>
      </c>
      <c r="N70" s="1251">
        <f>TRUNC(L70*M70%,0)</f>
        <v>158</v>
      </c>
      <c r="O70" s="276"/>
    </row>
    <row r="71" spans="1:15" ht="21" customHeight="1">
      <c r="A71" s="1562"/>
      <c r="B71" s="1396"/>
      <c r="C71" s="1360"/>
      <c r="D71" s="1564"/>
      <c r="E71" s="1362"/>
      <c r="F71" s="429"/>
      <c r="G71" s="430" t="s">
        <v>73</v>
      </c>
      <c r="H71" s="68"/>
      <c r="I71" s="1245"/>
      <c r="J71" s="1245"/>
      <c r="K71" s="1245"/>
      <c r="L71" s="1246"/>
      <c r="M71" s="1234"/>
      <c r="N71" s="1251">
        <f>SUM(N64:N70)</f>
        <v>420667</v>
      </c>
      <c r="O71" s="276"/>
    </row>
    <row r="72" spans="1:15" ht="21" customHeight="1">
      <c r="A72" s="1561" t="str">
        <f>인건비집계!$A$16</f>
        <v>운영팀</v>
      </c>
      <c r="B72" s="1563" t="str">
        <f>인건비집계!$B$16</f>
        <v>기계담당</v>
      </c>
      <c r="C72" s="1360"/>
      <c r="D72" s="1564" t="str">
        <f>인건비집계!$D$16</f>
        <v>고급숙련기술자</v>
      </c>
      <c r="E72" s="1362"/>
      <c r="F72" s="426"/>
      <c r="G72" s="425" t="s">
        <v>148</v>
      </c>
      <c r="H72" s="427"/>
      <c r="I72" s="1245">
        <f>인건비집계!$F$16</f>
        <v>2515878</v>
      </c>
      <c r="J72" s="1245">
        <f>인건비집계!$I$16</f>
        <v>609184</v>
      </c>
      <c r="K72" s="1245">
        <f>인건비집계!$L$16</f>
        <v>838626</v>
      </c>
      <c r="L72" s="1241">
        <f>SUM(I72:K72)</f>
        <v>3963688</v>
      </c>
      <c r="M72" s="1233">
        <f>보험료산정기준!$I$7</f>
        <v>0.9</v>
      </c>
      <c r="N72" s="1251">
        <f t="shared" ref="N72:N77" si="27">TRUNC(L72*M72%,0)</f>
        <v>35673</v>
      </c>
      <c r="O72" s="276"/>
    </row>
    <row r="73" spans="1:15" ht="21" customHeight="1">
      <c r="A73" s="1562"/>
      <c r="B73" s="1396"/>
      <c r="C73" s="1360"/>
      <c r="D73" s="1564"/>
      <c r="E73" s="1362"/>
      <c r="F73" s="368"/>
      <c r="G73" s="425" t="s">
        <v>150</v>
      </c>
      <c r="H73" s="369"/>
      <c r="I73" s="1245">
        <f t="shared" ref="I73:L75" si="28">I72</f>
        <v>2515878</v>
      </c>
      <c r="J73" s="1245">
        <f t="shared" si="28"/>
        <v>609184</v>
      </c>
      <c r="K73" s="1245">
        <f t="shared" si="28"/>
        <v>838626</v>
      </c>
      <c r="L73" s="1245">
        <f t="shared" si="28"/>
        <v>3963688</v>
      </c>
      <c r="M73" s="1233">
        <f>보험료산정기준!$I$8</f>
        <v>4.5</v>
      </c>
      <c r="N73" s="1251">
        <f t="shared" si="27"/>
        <v>178365</v>
      </c>
      <c r="O73" s="276"/>
    </row>
    <row r="74" spans="1:15" ht="21" customHeight="1">
      <c r="A74" s="1562"/>
      <c r="B74" s="1396"/>
      <c r="C74" s="1360"/>
      <c r="D74" s="1564"/>
      <c r="E74" s="1362"/>
      <c r="F74" s="368"/>
      <c r="G74" s="425" t="s">
        <v>71</v>
      </c>
      <c r="H74" s="369"/>
      <c r="I74" s="1245">
        <f t="shared" si="28"/>
        <v>2515878</v>
      </c>
      <c r="J74" s="1245">
        <f t="shared" si="28"/>
        <v>609184</v>
      </c>
      <c r="K74" s="1245">
        <f t="shared" si="28"/>
        <v>838626</v>
      </c>
      <c r="L74" s="1245">
        <f t="shared" si="28"/>
        <v>3963688</v>
      </c>
      <c r="M74" s="1233">
        <f>보험료산정기준!$I$9</f>
        <v>1.1499999999999999</v>
      </c>
      <c r="N74" s="1251">
        <f t="shared" si="27"/>
        <v>45582</v>
      </c>
      <c r="O74" s="276"/>
    </row>
    <row r="75" spans="1:15" ht="21" customHeight="1">
      <c r="A75" s="1562"/>
      <c r="B75" s="1396"/>
      <c r="C75" s="1360"/>
      <c r="D75" s="1564"/>
      <c r="E75" s="1362"/>
      <c r="F75" s="368"/>
      <c r="G75" s="425" t="s">
        <v>151</v>
      </c>
      <c r="H75" s="369"/>
      <c r="I75" s="1245">
        <f t="shared" si="28"/>
        <v>2515878</v>
      </c>
      <c r="J75" s="1245">
        <f t="shared" si="28"/>
        <v>609184</v>
      </c>
      <c r="K75" s="1245">
        <f t="shared" si="28"/>
        <v>838626</v>
      </c>
      <c r="L75" s="1245">
        <f t="shared" si="28"/>
        <v>3963688</v>
      </c>
      <c r="M75" s="1233">
        <f>보험료산정기준!$I$10</f>
        <v>3.5449999999999999</v>
      </c>
      <c r="N75" s="1251">
        <f t="shared" si="27"/>
        <v>140512</v>
      </c>
      <c r="O75" s="276"/>
    </row>
    <row r="76" spans="1:15" ht="21" customHeight="1">
      <c r="A76" s="1562"/>
      <c r="B76" s="1396"/>
      <c r="C76" s="1360"/>
      <c r="D76" s="1564"/>
      <c r="E76" s="1362"/>
      <c r="F76" s="368"/>
      <c r="G76" s="425" t="s">
        <v>72</v>
      </c>
      <c r="H76" s="369"/>
      <c r="I76" s="1245"/>
      <c r="J76" s="1245"/>
      <c r="K76" s="1245"/>
      <c r="L76" s="1245">
        <f>N75</f>
        <v>140512</v>
      </c>
      <c r="M76" s="1233">
        <f>보험료산정기준!$I$11</f>
        <v>12.81</v>
      </c>
      <c r="N76" s="1251">
        <f t="shared" si="27"/>
        <v>17999</v>
      </c>
      <c r="O76" s="276"/>
    </row>
    <row r="77" spans="1:15" ht="21" customHeight="1">
      <c r="A77" s="1562"/>
      <c r="B77" s="1396"/>
      <c r="C77" s="1360"/>
      <c r="D77" s="1564"/>
      <c r="E77" s="1362"/>
      <c r="F77" s="429"/>
      <c r="G77" s="430" t="s">
        <v>149</v>
      </c>
      <c r="H77" s="68"/>
      <c r="I77" s="1245">
        <f t="shared" ref="I77:L78" si="29">I73</f>
        <v>2515878</v>
      </c>
      <c r="J77" s="1245">
        <f t="shared" si="29"/>
        <v>609184</v>
      </c>
      <c r="K77" s="1245">
        <f t="shared" si="29"/>
        <v>838626</v>
      </c>
      <c r="L77" s="1245">
        <f t="shared" si="29"/>
        <v>3963688</v>
      </c>
      <c r="M77" s="1233">
        <f>보험료산정기준!$I$12</f>
        <v>0.06</v>
      </c>
      <c r="N77" s="1251">
        <f t="shared" si="27"/>
        <v>2378</v>
      </c>
      <c r="O77" s="276"/>
    </row>
    <row r="78" spans="1:15" ht="21" customHeight="1">
      <c r="A78" s="1562"/>
      <c r="B78" s="1396"/>
      <c r="C78" s="1360"/>
      <c r="D78" s="1564"/>
      <c r="E78" s="1362"/>
      <c r="F78" s="429"/>
      <c r="G78" s="430" t="s">
        <v>633</v>
      </c>
      <c r="H78" s="68"/>
      <c r="I78" s="1245">
        <f t="shared" si="29"/>
        <v>2515878</v>
      </c>
      <c r="J78" s="1245">
        <f t="shared" si="29"/>
        <v>609184</v>
      </c>
      <c r="K78" s="1245">
        <f t="shared" si="29"/>
        <v>838626</v>
      </c>
      <c r="L78" s="1245">
        <f t="shared" si="29"/>
        <v>3963688</v>
      </c>
      <c r="M78" s="1233">
        <f>보험료산정기준!$I$13</f>
        <v>4.0000000000000001E-3</v>
      </c>
      <c r="N78" s="1251">
        <f>TRUNC(L78*M78%,0)</f>
        <v>158</v>
      </c>
      <c r="O78" s="276"/>
    </row>
    <row r="79" spans="1:15" ht="21" customHeight="1">
      <c r="A79" s="1562"/>
      <c r="B79" s="1396"/>
      <c r="C79" s="1360"/>
      <c r="D79" s="1564"/>
      <c r="E79" s="1362"/>
      <c r="F79" s="429"/>
      <c r="G79" s="430" t="s">
        <v>73</v>
      </c>
      <c r="H79" s="68"/>
      <c r="I79" s="1245"/>
      <c r="J79" s="1245"/>
      <c r="K79" s="1245"/>
      <c r="L79" s="1246"/>
      <c r="M79" s="1234"/>
      <c r="N79" s="1251">
        <f>SUM(N72:N78)</f>
        <v>420667</v>
      </c>
      <c r="O79" s="276"/>
    </row>
    <row r="80" spans="1:15" ht="21" customHeight="1">
      <c r="A80" s="1561" t="str">
        <f>인건비집계!$A$17</f>
        <v>운영팀</v>
      </c>
      <c r="B80" s="1563" t="str">
        <f>인건비집계!$B$17</f>
        <v>전기담당</v>
      </c>
      <c r="C80" s="1360"/>
      <c r="D80" s="1564" t="str">
        <f>인건비집계!$D$17</f>
        <v>중급숙련기술자</v>
      </c>
      <c r="E80" s="1362"/>
      <c r="F80" s="426"/>
      <c r="G80" s="425" t="s">
        <v>148</v>
      </c>
      <c r="H80" s="427"/>
      <c r="I80" s="1245">
        <f>인건비집계!$F$17</f>
        <v>2238540</v>
      </c>
      <c r="J80" s="1245">
        <f>인건비집계!$I$17</f>
        <v>542034</v>
      </c>
      <c r="K80" s="1245">
        <f>인건비집계!$L$17</f>
        <v>746180</v>
      </c>
      <c r="L80" s="1241">
        <f>SUM(I80:K80)</f>
        <v>3526754</v>
      </c>
      <c r="M80" s="1233">
        <f>보험료산정기준!$I$7</f>
        <v>0.9</v>
      </c>
      <c r="N80" s="1251">
        <f t="shared" ref="N80:N85" si="30">TRUNC(L80*M80%,0)</f>
        <v>31740</v>
      </c>
      <c r="O80" s="276"/>
    </row>
    <row r="81" spans="1:15" ht="21" customHeight="1">
      <c r="A81" s="1562"/>
      <c r="B81" s="1396"/>
      <c r="C81" s="1360"/>
      <c r="D81" s="1564"/>
      <c r="E81" s="1362"/>
      <c r="F81" s="368"/>
      <c r="G81" s="425" t="s">
        <v>150</v>
      </c>
      <c r="H81" s="369"/>
      <c r="I81" s="1245">
        <f t="shared" ref="I81:L83" si="31">I80</f>
        <v>2238540</v>
      </c>
      <c r="J81" s="1245">
        <f t="shared" si="31"/>
        <v>542034</v>
      </c>
      <c r="K81" s="1245">
        <f t="shared" si="31"/>
        <v>746180</v>
      </c>
      <c r="L81" s="1245">
        <f t="shared" si="31"/>
        <v>3526754</v>
      </c>
      <c r="M81" s="1233">
        <f>보험료산정기준!$I$8</f>
        <v>4.5</v>
      </c>
      <c r="N81" s="1251">
        <f t="shared" si="30"/>
        <v>158703</v>
      </c>
      <c r="O81" s="276"/>
    </row>
    <row r="82" spans="1:15" ht="21" customHeight="1">
      <c r="A82" s="1562"/>
      <c r="B82" s="1396"/>
      <c r="C82" s="1360"/>
      <c r="D82" s="1564"/>
      <c r="E82" s="1362"/>
      <c r="F82" s="368"/>
      <c r="G82" s="425" t="s">
        <v>71</v>
      </c>
      <c r="H82" s="369"/>
      <c r="I82" s="1245">
        <f t="shared" si="31"/>
        <v>2238540</v>
      </c>
      <c r="J82" s="1245">
        <f t="shared" si="31"/>
        <v>542034</v>
      </c>
      <c r="K82" s="1245">
        <f t="shared" si="31"/>
        <v>746180</v>
      </c>
      <c r="L82" s="1245">
        <f t="shared" si="31"/>
        <v>3526754</v>
      </c>
      <c r="M82" s="1233">
        <f>보험료산정기준!$I$9</f>
        <v>1.1499999999999999</v>
      </c>
      <c r="N82" s="1251">
        <f t="shared" si="30"/>
        <v>40557</v>
      </c>
      <c r="O82" s="276"/>
    </row>
    <row r="83" spans="1:15" ht="21" customHeight="1">
      <c r="A83" s="1562"/>
      <c r="B83" s="1396"/>
      <c r="C83" s="1360"/>
      <c r="D83" s="1564"/>
      <c r="E83" s="1362"/>
      <c r="F83" s="368"/>
      <c r="G83" s="425" t="s">
        <v>151</v>
      </c>
      <c r="H83" s="369"/>
      <c r="I83" s="1245">
        <f t="shared" si="31"/>
        <v>2238540</v>
      </c>
      <c r="J83" s="1245">
        <f t="shared" si="31"/>
        <v>542034</v>
      </c>
      <c r="K83" s="1245">
        <f t="shared" si="31"/>
        <v>746180</v>
      </c>
      <c r="L83" s="1245">
        <f t="shared" si="31"/>
        <v>3526754</v>
      </c>
      <c r="M83" s="1233">
        <f>보험료산정기준!$I$10</f>
        <v>3.5449999999999999</v>
      </c>
      <c r="N83" s="1251">
        <f t="shared" si="30"/>
        <v>125023</v>
      </c>
      <c r="O83" s="276"/>
    </row>
    <row r="84" spans="1:15" ht="21" customHeight="1">
      <c r="A84" s="1562"/>
      <c r="B84" s="1396"/>
      <c r="C84" s="1360"/>
      <c r="D84" s="1564"/>
      <c r="E84" s="1362"/>
      <c r="F84" s="368"/>
      <c r="G84" s="425" t="s">
        <v>72</v>
      </c>
      <c r="H84" s="369"/>
      <c r="I84" s="1245"/>
      <c r="J84" s="1245"/>
      <c r="K84" s="1245"/>
      <c r="L84" s="1245">
        <f>N83</f>
        <v>125023</v>
      </c>
      <c r="M84" s="1233">
        <f>보험료산정기준!$I$11</f>
        <v>12.81</v>
      </c>
      <c r="N84" s="1251">
        <f t="shared" si="30"/>
        <v>16015</v>
      </c>
      <c r="O84" s="276"/>
    </row>
    <row r="85" spans="1:15" ht="21" customHeight="1">
      <c r="A85" s="1562"/>
      <c r="B85" s="1396"/>
      <c r="C85" s="1360"/>
      <c r="D85" s="1564"/>
      <c r="E85" s="1362"/>
      <c r="F85" s="429"/>
      <c r="G85" s="430" t="s">
        <v>149</v>
      </c>
      <c r="H85" s="68"/>
      <c r="I85" s="1245">
        <f t="shared" ref="I85:L86" si="32">I81</f>
        <v>2238540</v>
      </c>
      <c r="J85" s="1245">
        <f t="shared" si="32"/>
        <v>542034</v>
      </c>
      <c r="K85" s="1245">
        <f t="shared" si="32"/>
        <v>746180</v>
      </c>
      <c r="L85" s="1245">
        <f t="shared" si="32"/>
        <v>3526754</v>
      </c>
      <c r="M85" s="1233">
        <f>보험료산정기준!$I$12</f>
        <v>0.06</v>
      </c>
      <c r="N85" s="1251">
        <f t="shared" si="30"/>
        <v>2116</v>
      </c>
      <c r="O85" s="276"/>
    </row>
    <row r="86" spans="1:15" ht="21" customHeight="1">
      <c r="A86" s="1562"/>
      <c r="B86" s="1396"/>
      <c r="C86" s="1360"/>
      <c r="D86" s="1564"/>
      <c r="E86" s="1362"/>
      <c r="F86" s="429"/>
      <c r="G86" s="430" t="s">
        <v>633</v>
      </c>
      <c r="H86" s="68"/>
      <c r="I86" s="1245">
        <f t="shared" si="32"/>
        <v>2238540</v>
      </c>
      <c r="J86" s="1245">
        <f t="shared" si="32"/>
        <v>542034</v>
      </c>
      <c r="K86" s="1245">
        <f t="shared" si="32"/>
        <v>746180</v>
      </c>
      <c r="L86" s="1245">
        <f t="shared" si="32"/>
        <v>3526754</v>
      </c>
      <c r="M86" s="1233">
        <f>보험료산정기준!$I$13</f>
        <v>4.0000000000000001E-3</v>
      </c>
      <c r="N86" s="1251">
        <f>TRUNC(L86*M86%,0)</f>
        <v>141</v>
      </c>
      <c r="O86" s="276"/>
    </row>
    <row r="87" spans="1:15" ht="21" customHeight="1">
      <c r="A87" s="1562"/>
      <c r="B87" s="1396"/>
      <c r="C87" s="1360"/>
      <c r="D87" s="1564"/>
      <c r="E87" s="1362"/>
      <c r="F87" s="429"/>
      <c r="G87" s="430" t="s">
        <v>73</v>
      </c>
      <c r="H87" s="68"/>
      <c r="I87" s="1245"/>
      <c r="J87" s="1245"/>
      <c r="K87" s="1245"/>
      <c r="L87" s="1246"/>
      <c r="M87" s="1234"/>
      <c r="N87" s="1251">
        <f>SUM(N80:N86)</f>
        <v>374295</v>
      </c>
      <c r="O87" s="276"/>
    </row>
    <row r="88" spans="1:15" ht="21" customHeight="1">
      <c r="A88" s="1561" t="str">
        <f>인건비집계!$A$18</f>
        <v>운영팀</v>
      </c>
      <c r="B88" s="1563" t="str">
        <f>인건비집계!$B$18</f>
        <v>기계담당</v>
      </c>
      <c r="C88" s="1360"/>
      <c r="D88" s="1564" t="str">
        <f>인건비집계!$D$18</f>
        <v>중급숙련기술자</v>
      </c>
      <c r="E88" s="1362"/>
      <c r="F88" s="426"/>
      <c r="G88" s="425" t="s">
        <v>148</v>
      </c>
      <c r="H88" s="427"/>
      <c r="I88" s="1245">
        <f>인건비집계!$F$18</f>
        <v>2238540</v>
      </c>
      <c r="J88" s="1245">
        <f>인건비집계!$I$18</f>
        <v>542034</v>
      </c>
      <c r="K88" s="1245">
        <f>인건비집계!$L$18</f>
        <v>746180</v>
      </c>
      <c r="L88" s="1241">
        <f>SUM(I88:K88)</f>
        <v>3526754</v>
      </c>
      <c r="M88" s="1233">
        <f>보험료산정기준!$I$7</f>
        <v>0.9</v>
      </c>
      <c r="N88" s="1251">
        <f t="shared" ref="N88:N93" si="33">TRUNC(L88*M88%,0)</f>
        <v>31740</v>
      </c>
      <c r="O88" s="276"/>
    </row>
    <row r="89" spans="1:15" ht="21" customHeight="1">
      <c r="A89" s="1562"/>
      <c r="B89" s="1396"/>
      <c r="C89" s="1360"/>
      <c r="D89" s="1564"/>
      <c r="E89" s="1362"/>
      <c r="F89" s="368"/>
      <c r="G89" s="425" t="s">
        <v>150</v>
      </c>
      <c r="H89" s="369"/>
      <c r="I89" s="1245">
        <f t="shared" ref="I89:L91" si="34">I88</f>
        <v>2238540</v>
      </c>
      <c r="J89" s="1245">
        <f t="shared" si="34"/>
        <v>542034</v>
      </c>
      <c r="K89" s="1245">
        <f t="shared" si="34"/>
        <v>746180</v>
      </c>
      <c r="L89" s="1245">
        <f t="shared" si="34"/>
        <v>3526754</v>
      </c>
      <c r="M89" s="1233">
        <f>보험료산정기준!$I$8</f>
        <v>4.5</v>
      </c>
      <c r="N89" s="1251">
        <f t="shared" si="33"/>
        <v>158703</v>
      </c>
      <c r="O89" s="276"/>
    </row>
    <row r="90" spans="1:15" ht="21" customHeight="1">
      <c r="A90" s="1562"/>
      <c r="B90" s="1396"/>
      <c r="C90" s="1360"/>
      <c r="D90" s="1564"/>
      <c r="E90" s="1362"/>
      <c r="F90" s="368"/>
      <c r="G90" s="425" t="s">
        <v>71</v>
      </c>
      <c r="H90" s="369"/>
      <c r="I90" s="1245">
        <f t="shared" si="34"/>
        <v>2238540</v>
      </c>
      <c r="J90" s="1245">
        <f t="shared" si="34"/>
        <v>542034</v>
      </c>
      <c r="K90" s="1245">
        <f t="shared" si="34"/>
        <v>746180</v>
      </c>
      <c r="L90" s="1245">
        <f t="shared" si="34"/>
        <v>3526754</v>
      </c>
      <c r="M90" s="1233">
        <f>보험료산정기준!$I$9</f>
        <v>1.1499999999999999</v>
      </c>
      <c r="N90" s="1251">
        <f t="shared" si="33"/>
        <v>40557</v>
      </c>
      <c r="O90" s="276"/>
    </row>
    <row r="91" spans="1:15" ht="21" customHeight="1">
      <c r="A91" s="1562"/>
      <c r="B91" s="1396"/>
      <c r="C91" s="1360"/>
      <c r="D91" s="1564"/>
      <c r="E91" s="1362"/>
      <c r="F91" s="368"/>
      <c r="G91" s="425" t="s">
        <v>151</v>
      </c>
      <c r="H91" s="369"/>
      <c r="I91" s="1245">
        <f t="shared" si="34"/>
        <v>2238540</v>
      </c>
      <c r="J91" s="1245">
        <f t="shared" si="34"/>
        <v>542034</v>
      </c>
      <c r="K91" s="1245">
        <f t="shared" si="34"/>
        <v>746180</v>
      </c>
      <c r="L91" s="1245">
        <f t="shared" si="34"/>
        <v>3526754</v>
      </c>
      <c r="M91" s="1233">
        <f>보험료산정기준!$I$10</f>
        <v>3.5449999999999999</v>
      </c>
      <c r="N91" s="1251">
        <f t="shared" si="33"/>
        <v>125023</v>
      </c>
      <c r="O91" s="276"/>
    </row>
    <row r="92" spans="1:15" ht="21" customHeight="1">
      <c r="A92" s="1562"/>
      <c r="B92" s="1396"/>
      <c r="C92" s="1360"/>
      <c r="D92" s="1564"/>
      <c r="E92" s="1362"/>
      <c r="F92" s="368"/>
      <c r="G92" s="425" t="s">
        <v>72</v>
      </c>
      <c r="H92" s="369"/>
      <c r="I92" s="1245"/>
      <c r="J92" s="1245"/>
      <c r="K92" s="1245"/>
      <c r="L92" s="1245">
        <f>N91</f>
        <v>125023</v>
      </c>
      <c r="M92" s="1233">
        <f>보험료산정기준!$I$11</f>
        <v>12.81</v>
      </c>
      <c r="N92" s="1251">
        <f t="shared" si="33"/>
        <v>16015</v>
      </c>
      <c r="O92" s="276"/>
    </row>
    <row r="93" spans="1:15" ht="21" customHeight="1">
      <c r="A93" s="1562"/>
      <c r="B93" s="1396"/>
      <c r="C93" s="1360"/>
      <c r="D93" s="1564"/>
      <c r="E93" s="1362"/>
      <c r="F93" s="429"/>
      <c r="G93" s="430" t="s">
        <v>149</v>
      </c>
      <c r="H93" s="68"/>
      <c r="I93" s="1245">
        <f t="shared" ref="I93:L94" si="35">I89</f>
        <v>2238540</v>
      </c>
      <c r="J93" s="1245">
        <f t="shared" si="35"/>
        <v>542034</v>
      </c>
      <c r="K93" s="1245">
        <f t="shared" si="35"/>
        <v>746180</v>
      </c>
      <c r="L93" s="1245">
        <f t="shared" si="35"/>
        <v>3526754</v>
      </c>
      <c r="M93" s="1233">
        <f>보험료산정기준!$I$12</f>
        <v>0.06</v>
      </c>
      <c r="N93" s="1251">
        <f t="shared" si="33"/>
        <v>2116</v>
      </c>
      <c r="O93" s="276"/>
    </row>
    <row r="94" spans="1:15" ht="21" customHeight="1">
      <c r="A94" s="1562"/>
      <c r="B94" s="1396"/>
      <c r="C94" s="1360"/>
      <c r="D94" s="1564"/>
      <c r="E94" s="1362"/>
      <c r="F94" s="429"/>
      <c r="G94" s="430" t="s">
        <v>633</v>
      </c>
      <c r="H94" s="68"/>
      <c r="I94" s="1245">
        <f t="shared" si="35"/>
        <v>2238540</v>
      </c>
      <c r="J94" s="1245">
        <f t="shared" si="35"/>
        <v>542034</v>
      </c>
      <c r="K94" s="1245">
        <f t="shared" si="35"/>
        <v>746180</v>
      </c>
      <c r="L94" s="1245">
        <f t="shared" si="35"/>
        <v>3526754</v>
      </c>
      <c r="M94" s="1233">
        <f>보험료산정기준!$I$13</f>
        <v>4.0000000000000001E-3</v>
      </c>
      <c r="N94" s="1251">
        <f>TRUNC(L94*M94%,0)</f>
        <v>141</v>
      </c>
      <c r="O94" s="276"/>
    </row>
    <row r="95" spans="1:15" ht="21" customHeight="1">
      <c r="A95" s="1562"/>
      <c r="B95" s="1396"/>
      <c r="C95" s="1360"/>
      <c r="D95" s="1564"/>
      <c r="E95" s="1362"/>
      <c r="F95" s="429"/>
      <c r="G95" s="430" t="s">
        <v>73</v>
      </c>
      <c r="H95" s="68"/>
      <c r="I95" s="1245"/>
      <c r="J95" s="1245"/>
      <c r="K95" s="1245"/>
      <c r="L95" s="1246"/>
      <c r="M95" s="1234"/>
      <c r="N95" s="1251">
        <f>SUM(N88:N94)</f>
        <v>374295</v>
      </c>
      <c r="O95" s="276"/>
    </row>
    <row r="96" spans="1:15" ht="21" customHeight="1">
      <c r="A96" s="1561" t="str">
        <f>인건비집계!$A$19</f>
        <v>운영팀</v>
      </c>
      <c r="B96" s="1563" t="str">
        <f>인건비집계!$B$19</f>
        <v>전기담당</v>
      </c>
      <c r="C96" s="1360"/>
      <c r="D96" s="1564" t="str">
        <f>인건비집계!$D$19</f>
        <v>초급숙련기술자</v>
      </c>
      <c r="E96" s="1362"/>
      <c r="F96" s="429"/>
      <c r="G96" s="430" t="s">
        <v>148</v>
      </c>
      <c r="H96" s="68"/>
      <c r="I96" s="1245">
        <f>인건비집계!$F$19</f>
        <v>1966517</v>
      </c>
      <c r="J96" s="1245">
        <f>인건비집계!$I$19</f>
        <v>476148</v>
      </c>
      <c r="K96" s="1245">
        <f>인건비집계!$L$19</f>
        <v>655505</v>
      </c>
      <c r="L96" s="1246">
        <f>SUM(I96:K96)</f>
        <v>3098170</v>
      </c>
      <c r="M96" s="1233">
        <f>보험료산정기준!$I$7</f>
        <v>0.9</v>
      </c>
      <c r="N96" s="1251">
        <f t="shared" ref="N96:N101" si="36">TRUNC(L96*M96%,0)</f>
        <v>27883</v>
      </c>
      <c r="O96" s="276"/>
    </row>
    <row r="97" spans="1:15" ht="21" customHeight="1">
      <c r="A97" s="1562"/>
      <c r="B97" s="1396"/>
      <c r="C97" s="1360"/>
      <c r="D97" s="1564"/>
      <c r="E97" s="1362"/>
      <c r="F97" s="429"/>
      <c r="G97" s="430" t="s">
        <v>150</v>
      </c>
      <c r="H97" s="68"/>
      <c r="I97" s="1245">
        <f t="shared" ref="I97:L97" si="37">I96</f>
        <v>1966517</v>
      </c>
      <c r="J97" s="1245">
        <f t="shared" si="37"/>
        <v>476148</v>
      </c>
      <c r="K97" s="1245">
        <f t="shared" si="37"/>
        <v>655505</v>
      </c>
      <c r="L97" s="1246">
        <f t="shared" si="37"/>
        <v>3098170</v>
      </c>
      <c r="M97" s="1234">
        <f>보험료산정기준!$I$8</f>
        <v>4.5</v>
      </c>
      <c r="N97" s="1251">
        <f t="shared" si="36"/>
        <v>139417</v>
      </c>
      <c r="O97" s="276"/>
    </row>
    <row r="98" spans="1:15" ht="21" customHeight="1">
      <c r="A98" s="1562"/>
      <c r="B98" s="1396"/>
      <c r="C98" s="1360"/>
      <c r="D98" s="1564"/>
      <c r="E98" s="1362"/>
      <c r="F98" s="429"/>
      <c r="G98" s="430" t="s">
        <v>135</v>
      </c>
      <c r="H98" s="68"/>
      <c r="I98" s="1245">
        <f t="shared" ref="I98:L98" si="38">I97</f>
        <v>1966517</v>
      </c>
      <c r="J98" s="1245">
        <f t="shared" si="38"/>
        <v>476148</v>
      </c>
      <c r="K98" s="1245">
        <f t="shared" si="38"/>
        <v>655505</v>
      </c>
      <c r="L98" s="1246">
        <f t="shared" si="38"/>
        <v>3098170</v>
      </c>
      <c r="M98" s="1234">
        <f>보험료산정기준!$I$9</f>
        <v>1.1499999999999999</v>
      </c>
      <c r="N98" s="1251">
        <f t="shared" si="36"/>
        <v>35628</v>
      </c>
      <c r="O98" s="276"/>
    </row>
    <row r="99" spans="1:15" ht="21" customHeight="1">
      <c r="A99" s="1562"/>
      <c r="B99" s="1396"/>
      <c r="C99" s="1360"/>
      <c r="D99" s="1564"/>
      <c r="E99" s="1362"/>
      <c r="F99" s="429"/>
      <c r="G99" s="430" t="s">
        <v>151</v>
      </c>
      <c r="H99" s="68"/>
      <c r="I99" s="1245">
        <f t="shared" ref="I99:L99" si="39">I98</f>
        <v>1966517</v>
      </c>
      <c r="J99" s="1245">
        <f t="shared" si="39"/>
        <v>476148</v>
      </c>
      <c r="K99" s="1245">
        <f t="shared" si="39"/>
        <v>655505</v>
      </c>
      <c r="L99" s="1246">
        <f t="shared" si="39"/>
        <v>3098170</v>
      </c>
      <c r="M99" s="1234">
        <f>보험료산정기준!$I$10</f>
        <v>3.5449999999999999</v>
      </c>
      <c r="N99" s="1251">
        <f t="shared" si="36"/>
        <v>109830</v>
      </c>
      <c r="O99" s="276"/>
    </row>
    <row r="100" spans="1:15" ht="21" customHeight="1">
      <c r="A100" s="1562"/>
      <c r="B100" s="1396"/>
      <c r="C100" s="1360"/>
      <c r="D100" s="1564"/>
      <c r="E100" s="1362"/>
      <c r="F100" s="429"/>
      <c r="G100" s="430" t="s">
        <v>210</v>
      </c>
      <c r="H100" s="68"/>
      <c r="I100" s="1245"/>
      <c r="J100" s="1245"/>
      <c r="K100" s="1245"/>
      <c r="L100" s="1246">
        <f>N99</f>
        <v>109830</v>
      </c>
      <c r="M100" s="1234">
        <f>보험료산정기준!$I$11</f>
        <v>12.81</v>
      </c>
      <c r="N100" s="1251">
        <f t="shared" si="36"/>
        <v>14069</v>
      </c>
      <c r="O100" s="276"/>
    </row>
    <row r="101" spans="1:15" ht="21" customHeight="1">
      <c r="A101" s="1562"/>
      <c r="B101" s="1396"/>
      <c r="C101" s="1360"/>
      <c r="D101" s="1564"/>
      <c r="E101" s="1362"/>
      <c r="F101" s="429"/>
      <c r="G101" s="430" t="s">
        <v>149</v>
      </c>
      <c r="H101" s="68"/>
      <c r="I101" s="1245">
        <f t="shared" ref="I101:L101" si="40">I97</f>
        <v>1966517</v>
      </c>
      <c r="J101" s="1245">
        <f t="shared" si="40"/>
        <v>476148</v>
      </c>
      <c r="K101" s="1245">
        <f t="shared" si="40"/>
        <v>655505</v>
      </c>
      <c r="L101" s="1246">
        <f t="shared" si="40"/>
        <v>3098170</v>
      </c>
      <c r="M101" s="1234">
        <f>보험료산정기준!$I$12</f>
        <v>0.06</v>
      </c>
      <c r="N101" s="1251">
        <f t="shared" si="36"/>
        <v>1858</v>
      </c>
      <c r="O101" s="276"/>
    </row>
    <row r="102" spans="1:15" ht="21" customHeight="1">
      <c r="A102" s="1562"/>
      <c r="B102" s="1396"/>
      <c r="C102" s="1360"/>
      <c r="D102" s="1564"/>
      <c r="E102" s="1362"/>
      <c r="F102" s="429"/>
      <c r="G102" s="430" t="s">
        <v>1036</v>
      </c>
      <c r="H102" s="68"/>
      <c r="I102" s="1245">
        <f t="shared" ref="I102:L102" si="41">I98</f>
        <v>1966517</v>
      </c>
      <c r="J102" s="1245">
        <f t="shared" si="41"/>
        <v>476148</v>
      </c>
      <c r="K102" s="1245">
        <f t="shared" si="41"/>
        <v>655505</v>
      </c>
      <c r="L102" s="1246">
        <f t="shared" si="41"/>
        <v>3098170</v>
      </c>
      <c r="M102" s="1234">
        <f>보험료산정기준!$I$13</f>
        <v>4.0000000000000001E-3</v>
      </c>
      <c r="N102" s="1251">
        <f>TRUNC(L102*M102%,0)</f>
        <v>123</v>
      </c>
      <c r="O102" s="276"/>
    </row>
    <row r="103" spans="1:15" ht="21" customHeight="1">
      <c r="A103" s="1562"/>
      <c r="B103" s="1396"/>
      <c r="C103" s="1360"/>
      <c r="D103" s="1564"/>
      <c r="E103" s="1362"/>
      <c r="F103" s="429"/>
      <c r="G103" s="430" t="s">
        <v>1037</v>
      </c>
      <c r="H103" s="68"/>
      <c r="I103" s="1245"/>
      <c r="J103" s="1245"/>
      <c r="K103" s="1245"/>
      <c r="L103" s="1246"/>
      <c r="M103" s="1234"/>
      <c r="N103" s="1251">
        <f>SUM(N96:N102)</f>
        <v>328808</v>
      </c>
      <c r="O103" s="276"/>
    </row>
    <row r="104" spans="1:15" ht="21" customHeight="1">
      <c r="A104" s="1561" t="str">
        <f>인건비집계!$A$20</f>
        <v>운영팀</v>
      </c>
      <c r="B104" s="1563" t="str">
        <f>인건비집계!$B$20</f>
        <v>기계담당</v>
      </c>
      <c r="C104" s="1360"/>
      <c r="D104" s="1564" t="str">
        <f>인건비집계!$D$20</f>
        <v>초급숙련기술자</v>
      </c>
      <c r="E104" s="1362"/>
      <c r="F104" s="429"/>
      <c r="G104" s="430" t="s">
        <v>148</v>
      </c>
      <c r="H104" s="68"/>
      <c r="I104" s="1245">
        <f>인건비집계!$F$20</f>
        <v>1966517</v>
      </c>
      <c r="J104" s="1245">
        <f>인건비집계!$I$20</f>
        <v>476148</v>
      </c>
      <c r="K104" s="1245">
        <f>인건비집계!$L$20</f>
        <v>655505</v>
      </c>
      <c r="L104" s="1246">
        <f>SUM(I104:K104)</f>
        <v>3098170</v>
      </c>
      <c r="M104" s="1233">
        <f>보험료산정기준!$I$7</f>
        <v>0.9</v>
      </c>
      <c r="N104" s="1251">
        <f t="shared" ref="N104:N109" si="42">TRUNC(L104*M104%,0)</f>
        <v>27883</v>
      </c>
      <c r="O104" s="276"/>
    </row>
    <row r="105" spans="1:15" ht="21" customHeight="1">
      <c r="A105" s="1562"/>
      <c r="B105" s="1396"/>
      <c r="C105" s="1360"/>
      <c r="D105" s="1564"/>
      <c r="E105" s="1362"/>
      <c r="F105" s="429"/>
      <c r="G105" s="430" t="s">
        <v>150</v>
      </c>
      <c r="H105" s="68"/>
      <c r="I105" s="1245">
        <f t="shared" ref="I105:L105" si="43">I104</f>
        <v>1966517</v>
      </c>
      <c r="J105" s="1245">
        <f t="shared" si="43"/>
        <v>476148</v>
      </c>
      <c r="K105" s="1245">
        <f t="shared" si="43"/>
        <v>655505</v>
      </c>
      <c r="L105" s="1246">
        <f t="shared" si="43"/>
        <v>3098170</v>
      </c>
      <c r="M105" s="1234">
        <f>보험료산정기준!$I$8</f>
        <v>4.5</v>
      </c>
      <c r="N105" s="1251">
        <f t="shared" si="42"/>
        <v>139417</v>
      </c>
      <c r="O105" s="276"/>
    </row>
    <row r="106" spans="1:15" ht="21" customHeight="1">
      <c r="A106" s="1562"/>
      <c r="B106" s="1396"/>
      <c r="C106" s="1360"/>
      <c r="D106" s="1564"/>
      <c r="E106" s="1362"/>
      <c r="F106" s="429"/>
      <c r="G106" s="430" t="s">
        <v>135</v>
      </c>
      <c r="H106" s="68"/>
      <c r="I106" s="1245">
        <f t="shared" ref="I106:L106" si="44">I105</f>
        <v>1966517</v>
      </c>
      <c r="J106" s="1245">
        <f t="shared" si="44"/>
        <v>476148</v>
      </c>
      <c r="K106" s="1245">
        <f t="shared" si="44"/>
        <v>655505</v>
      </c>
      <c r="L106" s="1246">
        <f t="shared" si="44"/>
        <v>3098170</v>
      </c>
      <c r="M106" s="1234">
        <f>보험료산정기준!$I$9</f>
        <v>1.1499999999999999</v>
      </c>
      <c r="N106" s="1251">
        <f t="shared" si="42"/>
        <v>35628</v>
      </c>
      <c r="O106" s="276"/>
    </row>
    <row r="107" spans="1:15" ht="21" customHeight="1">
      <c r="A107" s="1562"/>
      <c r="B107" s="1396"/>
      <c r="C107" s="1360"/>
      <c r="D107" s="1564"/>
      <c r="E107" s="1362"/>
      <c r="F107" s="429"/>
      <c r="G107" s="430" t="s">
        <v>151</v>
      </c>
      <c r="H107" s="68"/>
      <c r="I107" s="1245">
        <f t="shared" ref="I107:L107" si="45">I106</f>
        <v>1966517</v>
      </c>
      <c r="J107" s="1245">
        <f t="shared" si="45"/>
        <v>476148</v>
      </c>
      <c r="K107" s="1245">
        <f t="shared" si="45"/>
        <v>655505</v>
      </c>
      <c r="L107" s="1246">
        <f t="shared" si="45"/>
        <v>3098170</v>
      </c>
      <c r="M107" s="1234">
        <f>보험료산정기준!$I$10</f>
        <v>3.5449999999999999</v>
      </c>
      <c r="N107" s="1251">
        <f t="shared" si="42"/>
        <v>109830</v>
      </c>
      <c r="O107" s="276"/>
    </row>
    <row r="108" spans="1:15" ht="21" customHeight="1">
      <c r="A108" s="1562"/>
      <c r="B108" s="1396"/>
      <c r="C108" s="1360"/>
      <c r="D108" s="1564"/>
      <c r="E108" s="1362"/>
      <c r="F108" s="429"/>
      <c r="G108" s="430" t="s">
        <v>210</v>
      </c>
      <c r="H108" s="68"/>
      <c r="I108" s="1245"/>
      <c r="J108" s="1245"/>
      <c r="K108" s="1245"/>
      <c r="L108" s="1246">
        <f>N107</f>
        <v>109830</v>
      </c>
      <c r="M108" s="1234">
        <f>보험료산정기준!$I$11</f>
        <v>12.81</v>
      </c>
      <c r="N108" s="1251">
        <f t="shared" si="42"/>
        <v>14069</v>
      </c>
      <c r="O108" s="276"/>
    </row>
    <row r="109" spans="1:15" ht="21" customHeight="1">
      <c r="A109" s="1562"/>
      <c r="B109" s="1396"/>
      <c r="C109" s="1360"/>
      <c r="D109" s="1564"/>
      <c r="E109" s="1362"/>
      <c r="F109" s="429"/>
      <c r="G109" s="430" t="s">
        <v>149</v>
      </c>
      <c r="H109" s="68"/>
      <c r="I109" s="1245">
        <f t="shared" ref="I109:L109" si="46">I105</f>
        <v>1966517</v>
      </c>
      <c r="J109" s="1245">
        <f t="shared" si="46"/>
        <v>476148</v>
      </c>
      <c r="K109" s="1245">
        <f t="shared" si="46"/>
        <v>655505</v>
      </c>
      <c r="L109" s="1246">
        <f t="shared" si="46"/>
        <v>3098170</v>
      </c>
      <c r="M109" s="1234">
        <f>보험료산정기준!$I$12</f>
        <v>0.06</v>
      </c>
      <c r="N109" s="1251">
        <f t="shared" si="42"/>
        <v>1858</v>
      </c>
      <c r="O109" s="276"/>
    </row>
    <row r="110" spans="1:15" ht="21" customHeight="1">
      <c r="A110" s="1562"/>
      <c r="B110" s="1396"/>
      <c r="C110" s="1360"/>
      <c r="D110" s="1564"/>
      <c r="E110" s="1362"/>
      <c r="F110" s="429"/>
      <c r="G110" s="430" t="s">
        <v>1036</v>
      </c>
      <c r="H110" s="68"/>
      <c r="I110" s="1245">
        <f t="shared" ref="I110:L110" si="47">I106</f>
        <v>1966517</v>
      </c>
      <c r="J110" s="1245">
        <f t="shared" si="47"/>
        <v>476148</v>
      </c>
      <c r="K110" s="1245">
        <f t="shared" si="47"/>
        <v>655505</v>
      </c>
      <c r="L110" s="1246">
        <f t="shared" si="47"/>
        <v>3098170</v>
      </c>
      <c r="M110" s="1234">
        <f>보험료산정기준!$I$13</f>
        <v>4.0000000000000001E-3</v>
      </c>
      <c r="N110" s="1251">
        <f>TRUNC(L110*M110%,0)</f>
        <v>123</v>
      </c>
      <c r="O110" s="276"/>
    </row>
    <row r="111" spans="1:15" ht="21" customHeight="1">
      <c r="A111" s="1562"/>
      <c r="B111" s="1396"/>
      <c r="C111" s="1360"/>
      <c r="D111" s="1564"/>
      <c r="E111" s="1362"/>
      <c r="F111" s="429"/>
      <c r="G111" s="430" t="s">
        <v>1037</v>
      </c>
      <c r="H111" s="68"/>
      <c r="I111" s="1245"/>
      <c r="J111" s="1245"/>
      <c r="K111" s="1245"/>
      <c r="L111" s="1246"/>
      <c r="M111" s="1234"/>
      <c r="N111" s="1251">
        <f>SUM(N104:N110)</f>
        <v>328808</v>
      </c>
      <c r="O111" s="276"/>
    </row>
    <row r="112" spans="1:15" ht="21" customHeight="1">
      <c r="A112" s="1561" t="str">
        <f>인건비집계!$A$21</f>
        <v>환경팀</v>
      </c>
      <c r="B112" s="1563" t="str">
        <f>인건비집계!$B$21</f>
        <v>환경팀장</v>
      </c>
      <c r="C112" s="1360"/>
      <c r="D112" s="1564" t="str">
        <f>인건비집계!$D$21</f>
        <v>초급숙련기술자</v>
      </c>
      <c r="E112" s="1362"/>
      <c r="F112" s="429"/>
      <c r="G112" s="430" t="s">
        <v>148</v>
      </c>
      <c r="H112" s="68"/>
      <c r="I112" s="1245">
        <f>인건비집계!$F$21</f>
        <v>1966517</v>
      </c>
      <c r="J112" s="1245">
        <f>인건비집계!$I$21</f>
        <v>476148</v>
      </c>
      <c r="K112" s="1245">
        <f>인건비집계!$L$21</f>
        <v>655505</v>
      </c>
      <c r="L112" s="1246">
        <f>SUM(I112:K112)</f>
        <v>3098170</v>
      </c>
      <c r="M112" s="1234">
        <f>보험료산정기준!$I$7</f>
        <v>0.9</v>
      </c>
      <c r="N112" s="1251">
        <f t="shared" ref="N112:N117" si="48">TRUNC(L112*M112%,0)</f>
        <v>27883</v>
      </c>
      <c r="O112" s="276"/>
    </row>
    <row r="113" spans="1:15" ht="21" customHeight="1">
      <c r="A113" s="1562"/>
      <c r="B113" s="1396"/>
      <c r="C113" s="1360"/>
      <c r="D113" s="1564"/>
      <c r="E113" s="1362"/>
      <c r="F113" s="429"/>
      <c r="G113" s="430" t="s">
        <v>150</v>
      </c>
      <c r="H113" s="68"/>
      <c r="I113" s="1245">
        <f t="shared" ref="I113:L113" si="49">I112</f>
        <v>1966517</v>
      </c>
      <c r="J113" s="1245">
        <f t="shared" si="49"/>
        <v>476148</v>
      </c>
      <c r="K113" s="1245">
        <f t="shared" si="49"/>
        <v>655505</v>
      </c>
      <c r="L113" s="1246">
        <f t="shared" si="49"/>
        <v>3098170</v>
      </c>
      <c r="M113" s="1234">
        <f>보험료산정기준!$I$8</f>
        <v>4.5</v>
      </c>
      <c r="N113" s="1251">
        <f t="shared" si="48"/>
        <v>139417</v>
      </c>
      <c r="O113" s="276"/>
    </row>
    <row r="114" spans="1:15" ht="21" customHeight="1">
      <c r="A114" s="1562"/>
      <c r="B114" s="1396"/>
      <c r="C114" s="1360"/>
      <c r="D114" s="1564"/>
      <c r="E114" s="1362"/>
      <c r="F114" s="429"/>
      <c r="G114" s="430" t="s">
        <v>135</v>
      </c>
      <c r="H114" s="68"/>
      <c r="I114" s="1245">
        <f t="shared" ref="I114:L114" si="50">I113</f>
        <v>1966517</v>
      </c>
      <c r="J114" s="1245">
        <f t="shared" si="50"/>
        <v>476148</v>
      </c>
      <c r="K114" s="1245">
        <f t="shared" si="50"/>
        <v>655505</v>
      </c>
      <c r="L114" s="1246">
        <f t="shared" si="50"/>
        <v>3098170</v>
      </c>
      <c r="M114" s="1234">
        <f>보험료산정기준!$I$9</f>
        <v>1.1499999999999999</v>
      </c>
      <c r="N114" s="1251">
        <f t="shared" si="48"/>
        <v>35628</v>
      </c>
      <c r="O114" s="276"/>
    </row>
    <row r="115" spans="1:15" ht="21" customHeight="1">
      <c r="A115" s="1562"/>
      <c r="B115" s="1396"/>
      <c r="C115" s="1360"/>
      <c r="D115" s="1564"/>
      <c r="E115" s="1362"/>
      <c r="F115" s="429"/>
      <c r="G115" s="430" t="s">
        <v>151</v>
      </c>
      <c r="H115" s="68"/>
      <c r="I115" s="1245">
        <f t="shared" ref="I115:L115" si="51">I114</f>
        <v>1966517</v>
      </c>
      <c r="J115" s="1245">
        <f t="shared" si="51"/>
        <v>476148</v>
      </c>
      <c r="K115" s="1245">
        <f t="shared" si="51"/>
        <v>655505</v>
      </c>
      <c r="L115" s="1246">
        <f t="shared" si="51"/>
        <v>3098170</v>
      </c>
      <c r="M115" s="1234">
        <f>보험료산정기준!$I$10</f>
        <v>3.5449999999999999</v>
      </c>
      <c r="N115" s="1251">
        <f t="shared" si="48"/>
        <v>109830</v>
      </c>
      <c r="O115" s="276"/>
    </row>
    <row r="116" spans="1:15" ht="21" customHeight="1">
      <c r="A116" s="1562"/>
      <c r="B116" s="1396"/>
      <c r="C116" s="1360"/>
      <c r="D116" s="1564"/>
      <c r="E116" s="1362"/>
      <c r="F116" s="429"/>
      <c r="G116" s="430" t="s">
        <v>210</v>
      </c>
      <c r="H116" s="68"/>
      <c r="I116" s="1245"/>
      <c r="J116" s="1245"/>
      <c r="K116" s="1245"/>
      <c r="L116" s="1246">
        <f>N115</f>
        <v>109830</v>
      </c>
      <c r="M116" s="1234">
        <f>보험료산정기준!$I$11</f>
        <v>12.81</v>
      </c>
      <c r="N116" s="1251">
        <f t="shared" si="48"/>
        <v>14069</v>
      </c>
      <c r="O116" s="276"/>
    </row>
    <row r="117" spans="1:15" ht="21" customHeight="1">
      <c r="A117" s="1562"/>
      <c r="B117" s="1396"/>
      <c r="C117" s="1360"/>
      <c r="D117" s="1564"/>
      <c r="E117" s="1362"/>
      <c r="F117" s="429"/>
      <c r="G117" s="430" t="s">
        <v>149</v>
      </c>
      <c r="H117" s="68"/>
      <c r="I117" s="1245">
        <f t="shared" ref="I117:L117" si="52">I113</f>
        <v>1966517</v>
      </c>
      <c r="J117" s="1245">
        <f t="shared" si="52"/>
        <v>476148</v>
      </c>
      <c r="K117" s="1245">
        <f t="shared" si="52"/>
        <v>655505</v>
      </c>
      <c r="L117" s="1246">
        <f t="shared" si="52"/>
        <v>3098170</v>
      </c>
      <c r="M117" s="1234">
        <f>보험료산정기준!$I$12</f>
        <v>0.06</v>
      </c>
      <c r="N117" s="1251">
        <f t="shared" si="48"/>
        <v>1858</v>
      </c>
      <c r="O117" s="276"/>
    </row>
    <row r="118" spans="1:15" ht="21" customHeight="1">
      <c r="A118" s="1562"/>
      <c r="B118" s="1396"/>
      <c r="C118" s="1360"/>
      <c r="D118" s="1564"/>
      <c r="E118" s="1362"/>
      <c r="F118" s="429"/>
      <c r="G118" s="430" t="s">
        <v>1036</v>
      </c>
      <c r="H118" s="68"/>
      <c r="I118" s="1245">
        <f t="shared" ref="I118:L118" si="53">I114</f>
        <v>1966517</v>
      </c>
      <c r="J118" s="1245">
        <f t="shared" si="53"/>
        <v>476148</v>
      </c>
      <c r="K118" s="1245">
        <f t="shared" si="53"/>
        <v>655505</v>
      </c>
      <c r="L118" s="1246">
        <f t="shared" si="53"/>
        <v>3098170</v>
      </c>
      <c r="M118" s="1234">
        <f>보험료산정기준!$I$13</f>
        <v>4.0000000000000001E-3</v>
      </c>
      <c r="N118" s="1251">
        <f>TRUNC(L118*M118%,0)</f>
        <v>123</v>
      </c>
      <c r="O118" s="276"/>
    </row>
    <row r="119" spans="1:15" ht="21" customHeight="1">
      <c r="A119" s="1562"/>
      <c r="B119" s="1396"/>
      <c r="C119" s="1360"/>
      <c r="D119" s="1564"/>
      <c r="E119" s="1362"/>
      <c r="F119" s="429"/>
      <c r="G119" s="430" t="s">
        <v>1037</v>
      </c>
      <c r="H119" s="68"/>
      <c r="I119" s="1245"/>
      <c r="J119" s="1245"/>
      <c r="K119" s="1245"/>
      <c r="L119" s="1246"/>
      <c r="M119" s="1234"/>
      <c r="N119" s="1251">
        <f>SUM(N112:N118)</f>
        <v>328808</v>
      </c>
      <c r="O119" s="276"/>
    </row>
    <row r="120" spans="1:15" ht="21" customHeight="1">
      <c r="A120" s="1561" t="str">
        <f>인건비집계!$A$22</f>
        <v>환경팀</v>
      </c>
      <c r="B120" s="1563" t="str">
        <f>인건비집계!$B$22</f>
        <v>환경팀원</v>
      </c>
      <c r="C120" s="1360"/>
      <c r="D120" s="1564" t="str">
        <f>인건비집계!$D$22</f>
        <v>단순노무종사원</v>
      </c>
      <c r="E120" s="1362"/>
      <c r="F120" s="426"/>
      <c r="G120" s="425" t="s">
        <v>148</v>
      </c>
      <c r="H120" s="427"/>
      <c r="I120" s="1245">
        <f>인건비집계!$F$22</f>
        <v>1743130</v>
      </c>
      <c r="J120" s="1245">
        <f>인건비집계!$I$22</f>
        <v>422081</v>
      </c>
      <c r="K120" s="1245">
        <f>인건비집계!$L$22</f>
        <v>581043</v>
      </c>
      <c r="L120" s="1241">
        <f>SUM(I120:K120)</f>
        <v>2746254</v>
      </c>
      <c r="M120" s="1233">
        <f>보험료산정기준!$I$7</f>
        <v>0.9</v>
      </c>
      <c r="N120" s="1251">
        <f t="shared" ref="N120:N125" si="54">TRUNC(L120*M120%,0)</f>
        <v>24716</v>
      </c>
      <c r="O120" s="276"/>
    </row>
    <row r="121" spans="1:15" ht="21" customHeight="1">
      <c r="A121" s="1562"/>
      <c r="B121" s="1396"/>
      <c r="C121" s="1360"/>
      <c r="D121" s="1564"/>
      <c r="E121" s="1362"/>
      <c r="F121" s="368"/>
      <c r="G121" s="425" t="s">
        <v>150</v>
      </c>
      <c r="H121" s="369"/>
      <c r="I121" s="1245">
        <f t="shared" ref="I121:L123" si="55">I120</f>
        <v>1743130</v>
      </c>
      <c r="J121" s="1245">
        <f t="shared" si="55"/>
        <v>422081</v>
      </c>
      <c r="K121" s="1245">
        <f t="shared" si="55"/>
        <v>581043</v>
      </c>
      <c r="L121" s="1245">
        <f t="shared" si="55"/>
        <v>2746254</v>
      </c>
      <c r="M121" s="1233">
        <f>보험료산정기준!$I$8</f>
        <v>4.5</v>
      </c>
      <c r="N121" s="1251">
        <f t="shared" si="54"/>
        <v>123581</v>
      </c>
      <c r="O121" s="276"/>
    </row>
    <row r="122" spans="1:15" ht="21" customHeight="1">
      <c r="A122" s="1562"/>
      <c r="B122" s="1396"/>
      <c r="C122" s="1360"/>
      <c r="D122" s="1564"/>
      <c r="E122" s="1362"/>
      <c r="F122" s="368"/>
      <c r="G122" s="425" t="s">
        <v>71</v>
      </c>
      <c r="H122" s="369"/>
      <c r="I122" s="1245">
        <f t="shared" si="55"/>
        <v>1743130</v>
      </c>
      <c r="J122" s="1245">
        <f t="shared" si="55"/>
        <v>422081</v>
      </c>
      <c r="K122" s="1245">
        <f t="shared" si="55"/>
        <v>581043</v>
      </c>
      <c r="L122" s="1245">
        <f t="shared" si="55"/>
        <v>2746254</v>
      </c>
      <c r="M122" s="1233">
        <f>보험료산정기준!$I$9</f>
        <v>1.1499999999999999</v>
      </c>
      <c r="N122" s="1251">
        <f t="shared" si="54"/>
        <v>31581</v>
      </c>
      <c r="O122" s="276"/>
    </row>
    <row r="123" spans="1:15" ht="21" customHeight="1">
      <c r="A123" s="1562"/>
      <c r="B123" s="1396"/>
      <c r="C123" s="1360"/>
      <c r="D123" s="1564"/>
      <c r="E123" s="1362"/>
      <c r="F123" s="368"/>
      <c r="G123" s="425" t="s">
        <v>151</v>
      </c>
      <c r="H123" s="369"/>
      <c r="I123" s="1245">
        <f t="shared" si="55"/>
        <v>1743130</v>
      </c>
      <c r="J123" s="1245">
        <f t="shared" si="55"/>
        <v>422081</v>
      </c>
      <c r="K123" s="1245">
        <f t="shared" si="55"/>
        <v>581043</v>
      </c>
      <c r="L123" s="1245">
        <f t="shared" si="55"/>
        <v>2746254</v>
      </c>
      <c r="M123" s="1233">
        <f>보험료산정기준!$I$10</f>
        <v>3.5449999999999999</v>
      </c>
      <c r="N123" s="1251">
        <f t="shared" si="54"/>
        <v>97354</v>
      </c>
      <c r="O123" s="276"/>
    </row>
    <row r="124" spans="1:15" ht="21" customHeight="1">
      <c r="A124" s="1562"/>
      <c r="B124" s="1396"/>
      <c r="C124" s="1360"/>
      <c r="D124" s="1564"/>
      <c r="E124" s="1362"/>
      <c r="F124" s="368"/>
      <c r="G124" s="425" t="s">
        <v>72</v>
      </c>
      <c r="H124" s="369"/>
      <c r="I124" s="1245"/>
      <c r="J124" s="1245"/>
      <c r="K124" s="1245"/>
      <c r="L124" s="1245">
        <f>N123</f>
        <v>97354</v>
      </c>
      <c r="M124" s="1233">
        <f>보험료산정기준!$I$11</f>
        <v>12.81</v>
      </c>
      <c r="N124" s="1251">
        <f t="shared" si="54"/>
        <v>12471</v>
      </c>
      <c r="O124" s="276"/>
    </row>
    <row r="125" spans="1:15" ht="21" customHeight="1">
      <c r="A125" s="1562"/>
      <c r="B125" s="1396"/>
      <c r="C125" s="1360"/>
      <c r="D125" s="1564"/>
      <c r="E125" s="1362"/>
      <c r="F125" s="429"/>
      <c r="G125" s="430" t="s">
        <v>149</v>
      </c>
      <c r="H125" s="68"/>
      <c r="I125" s="1245">
        <f t="shared" ref="I125:L126" si="56">I121</f>
        <v>1743130</v>
      </c>
      <c r="J125" s="1245">
        <f t="shared" si="56"/>
        <v>422081</v>
      </c>
      <c r="K125" s="1245">
        <f t="shared" si="56"/>
        <v>581043</v>
      </c>
      <c r="L125" s="1245">
        <f t="shared" si="56"/>
        <v>2746254</v>
      </c>
      <c r="M125" s="1233">
        <f>보험료산정기준!$I$12</f>
        <v>0.06</v>
      </c>
      <c r="N125" s="1251">
        <f t="shared" si="54"/>
        <v>1647</v>
      </c>
      <c r="O125" s="276"/>
    </row>
    <row r="126" spans="1:15" ht="21" customHeight="1">
      <c r="A126" s="1562"/>
      <c r="B126" s="1396"/>
      <c r="C126" s="1360"/>
      <c r="D126" s="1564"/>
      <c r="E126" s="1362"/>
      <c r="F126" s="429"/>
      <c r="G126" s="430" t="s">
        <v>633</v>
      </c>
      <c r="H126" s="68"/>
      <c r="I126" s="1245">
        <f t="shared" si="56"/>
        <v>1743130</v>
      </c>
      <c r="J126" s="1245">
        <f t="shared" si="56"/>
        <v>422081</v>
      </c>
      <c r="K126" s="1245">
        <f t="shared" si="56"/>
        <v>581043</v>
      </c>
      <c r="L126" s="1245">
        <f t="shared" si="56"/>
        <v>2746254</v>
      </c>
      <c r="M126" s="1233">
        <f>보험료산정기준!$I$13</f>
        <v>4.0000000000000001E-3</v>
      </c>
      <c r="N126" s="1251">
        <f>TRUNC(L126*M126%,0)</f>
        <v>109</v>
      </c>
      <c r="O126" s="276"/>
    </row>
    <row r="127" spans="1:15" ht="21" customHeight="1">
      <c r="A127" s="1562"/>
      <c r="B127" s="1396"/>
      <c r="C127" s="1360"/>
      <c r="D127" s="1564"/>
      <c r="E127" s="1362"/>
      <c r="F127" s="429"/>
      <c r="G127" s="430" t="s">
        <v>73</v>
      </c>
      <c r="H127" s="68"/>
      <c r="I127" s="1245"/>
      <c r="J127" s="1245"/>
      <c r="K127" s="1245"/>
      <c r="L127" s="1246"/>
      <c r="M127" s="1234"/>
      <c r="N127" s="1251">
        <f>SUM(N120:N126)</f>
        <v>291459</v>
      </c>
      <c r="O127" s="276"/>
    </row>
    <row r="128" spans="1:15" ht="21" customHeight="1">
      <c r="A128" s="1561" t="str">
        <f>인건비집계!$A$23</f>
        <v>운반팀</v>
      </c>
      <c r="B128" s="1563" t="str">
        <f>인건비집계!$B$23</f>
        <v>운전원</v>
      </c>
      <c r="C128" s="1360"/>
      <c r="D128" s="1564" t="str">
        <f>인건비집계!$D$23</f>
        <v>초급숙련기술자</v>
      </c>
      <c r="E128" s="1362"/>
      <c r="F128" s="429"/>
      <c r="G128" s="430" t="s">
        <v>148</v>
      </c>
      <c r="H128" s="68"/>
      <c r="I128" s="1245">
        <f>인건비집계!$F$23</f>
        <v>1966517</v>
      </c>
      <c r="J128" s="1245">
        <f>인건비집계!$I$23</f>
        <v>476148</v>
      </c>
      <c r="K128" s="1245">
        <f>인건비집계!$L$23</f>
        <v>655505</v>
      </c>
      <c r="L128" s="1246">
        <f>SUM(I128:K128)</f>
        <v>3098170</v>
      </c>
      <c r="M128" s="1233">
        <f>보험료산정기준!$I$7</f>
        <v>0.9</v>
      </c>
      <c r="N128" s="1251">
        <f t="shared" ref="N128:N133" si="57">TRUNC(L128*M128%,0)</f>
        <v>27883</v>
      </c>
      <c r="O128" s="276"/>
    </row>
    <row r="129" spans="1:15" ht="21" customHeight="1">
      <c r="A129" s="1562"/>
      <c r="B129" s="1396"/>
      <c r="C129" s="1360"/>
      <c r="D129" s="1564"/>
      <c r="E129" s="1362"/>
      <c r="F129" s="429"/>
      <c r="G129" s="430" t="s">
        <v>150</v>
      </c>
      <c r="H129" s="68"/>
      <c r="I129" s="1245">
        <f t="shared" ref="I129:L129" si="58">I128</f>
        <v>1966517</v>
      </c>
      <c r="J129" s="1245">
        <f t="shared" si="58"/>
        <v>476148</v>
      </c>
      <c r="K129" s="1245">
        <f t="shared" si="58"/>
        <v>655505</v>
      </c>
      <c r="L129" s="1246">
        <f t="shared" si="58"/>
        <v>3098170</v>
      </c>
      <c r="M129" s="1234">
        <f>보험료산정기준!$I$8</f>
        <v>4.5</v>
      </c>
      <c r="N129" s="1251">
        <f t="shared" si="57"/>
        <v>139417</v>
      </c>
      <c r="O129" s="276"/>
    </row>
    <row r="130" spans="1:15" ht="21" customHeight="1">
      <c r="A130" s="1562"/>
      <c r="B130" s="1396"/>
      <c r="C130" s="1360"/>
      <c r="D130" s="1564"/>
      <c r="E130" s="1362"/>
      <c r="F130" s="429"/>
      <c r="G130" s="430" t="s">
        <v>135</v>
      </c>
      <c r="H130" s="68"/>
      <c r="I130" s="1245">
        <f t="shared" ref="I130:L130" si="59">I129</f>
        <v>1966517</v>
      </c>
      <c r="J130" s="1245">
        <f t="shared" si="59"/>
        <v>476148</v>
      </c>
      <c r="K130" s="1245">
        <f t="shared" si="59"/>
        <v>655505</v>
      </c>
      <c r="L130" s="1246">
        <f t="shared" si="59"/>
        <v>3098170</v>
      </c>
      <c r="M130" s="1234">
        <f>보험료산정기준!$I$9</f>
        <v>1.1499999999999999</v>
      </c>
      <c r="N130" s="1251">
        <f t="shared" si="57"/>
        <v>35628</v>
      </c>
      <c r="O130" s="276"/>
    </row>
    <row r="131" spans="1:15" ht="21" customHeight="1">
      <c r="A131" s="1562"/>
      <c r="B131" s="1396"/>
      <c r="C131" s="1360"/>
      <c r="D131" s="1564"/>
      <c r="E131" s="1362"/>
      <c r="F131" s="429"/>
      <c r="G131" s="430" t="s">
        <v>151</v>
      </c>
      <c r="H131" s="68"/>
      <c r="I131" s="1245">
        <f t="shared" ref="I131:L131" si="60">I130</f>
        <v>1966517</v>
      </c>
      <c r="J131" s="1245">
        <f t="shared" si="60"/>
        <v>476148</v>
      </c>
      <c r="K131" s="1245">
        <f t="shared" si="60"/>
        <v>655505</v>
      </c>
      <c r="L131" s="1246">
        <f t="shared" si="60"/>
        <v>3098170</v>
      </c>
      <c r="M131" s="1234">
        <f>보험료산정기준!$I$10</f>
        <v>3.5449999999999999</v>
      </c>
      <c r="N131" s="1251">
        <f t="shared" si="57"/>
        <v>109830</v>
      </c>
      <c r="O131" s="276"/>
    </row>
    <row r="132" spans="1:15" ht="21" customHeight="1">
      <c r="A132" s="1562"/>
      <c r="B132" s="1396"/>
      <c r="C132" s="1360"/>
      <c r="D132" s="1564"/>
      <c r="E132" s="1362"/>
      <c r="F132" s="429"/>
      <c r="G132" s="430" t="s">
        <v>210</v>
      </c>
      <c r="H132" s="68"/>
      <c r="I132" s="1245"/>
      <c r="J132" s="1245"/>
      <c r="K132" s="1245"/>
      <c r="L132" s="1246">
        <f>N131</f>
        <v>109830</v>
      </c>
      <c r="M132" s="1234">
        <f>보험료산정기준!$I$11</f>
        <v>12.81</v>
      </c>
      <c r="N132" s="1251">
        <f t="shared" si="57"/>
        <v>14069</v>
      </c>
      <c r="O132" s="276"/>
    </row>
    <row r="133" spans="1:15" ht="21" customHeight="1">
      <c r="A133" s="1562"/>
      <c r="B133" s="1396"/>
      <c r="C133" s="1360"/>
      <c r="D133" s="1564"/>
      <c r="E133" s="1362"/>
      <c r="F133" s="429"/>
      <c r="G133" s="430" t="s">
        <v>149</v>
      </c>
      <c r="H133" s="68"/>
      <c r="I133" s="1245">
        <f t="shared" ref="I133:L133" si="61">I129</f>
        <v>1966517</v>
      </c>
      <c r="J133" s="1245">
        <f t="shared" si="61"/>
        <v>476148</v>
      </c>
      <c r="K133" s="1245">
        <f t="shared" si="61"/>
        <v>655505</v>
      </c>
      <c r="L133" s="1246">
        <f t="shared" si="61"/>
        <v>3098170</v>
      </c>
      <c r="M133" s="1234">
        <f>보험료산정기준!$I$12</f>
        <v>0.06</v>
      </c>
      <c r="N133" s="1251">
        <f t="shared" si="57"/>
        <v>1858</v>
      </c>
      <c r="O133" s="276"/>
    </row>
    <row r="134" spans="1:15" ht="21" customHeight="1">
      <c r="A134" s="1562"/>
      <c r="B134" s="1396"/>
      <c r="C134" s="1360"/>
      <c r="D134" s="1564"/>
      <c r="E134" s="1362"/>
      <c r="F134" s="429"/>
      <c r="G134" s="430" t="s">
        <v>1036</v>
      </c>
      <c r="H134" s="68"/>
      <c r="I134" s="1245">
        <f t="shared" ref="I134:L134" si="62">I130</f>
        <v>1966517</v>
      </c>
      <c r="J134" s="1245">
        <f t="shared" si="62"/>
        <v>476148</v>
      </c>
      <c r="K134" s="1245">
        <f t="shared" si="62"/>
        <v>655505</v>
      </c>
      <c r="L134" s="1246">
        <f t="shared" si="62"/>
        <v>3098170</v>
      </c>
      <c r="M134" s="1234">
        <f>보험료산정기준!$I$13</f>
        <v>4.0000000000000001E-3</v>
      </c>
      <c r="N134" s="1251">
        <f>TRUNC(L134*M134%,0)</f>
        <v>123</v>
      </c>
      <c r="O134" s="276"/>
    </row>
    <row r="135" spans="1:15" ht="21" customHeight="1">
      <c r="A135" s="1562"/>
      <c r="B135" s="1396"/>
      <c r="C135" s="1360"/>
      <c r="D135" s="1564"/>
      <c r="E135" s="1362"/>
      <c r="F135" s="429"/>
      <c r="G135" s="430" t="s">
        <v>1037</v>
      </c>
      <c r="H135" s="68"/>
      <c r="I135" s="1245"/>
      <c r="J135" s="1245"/>
      <c r="K135" s="1245"/>
      <c r="L135" s="1246"/>
      <c r="M135" s="1234"/>
      <c r="N135" s="1251">
        <f>SUM(N128:N134)</f>
        <v>328808</v>
      </c>
      <c r="O135" s="276"/>
    </row>
    <row r="136" spans="1:15" ht="21" customHeight="1">
      <c r="A136" s="1561" t="str">
        <f>인건비집계!$A$24</f>
        <v>운반팀</v>
      </c>
      <c r="B136" s="1563" t="str">
        <f>인건비집계!$B$24</f>
        <v>운반팀원</v>
      </c>
      <c r="C136" s="1360"/>
      <c r="D136" s="1564" t="str">
        <f>인건비집계!$D$24</f>
        <v>단순노무종사원</v>
      </c>
      <c r="E136" s="1362"/>
      <c r="F136" s="429"/>
      <c r="G136" s="430" t="s">
        <v>148</v>
      </c>
      <c r="H136" s="68"/>
      <c r="I136" s="1245">
        <f>인건비집계!$F$24</f>
        <v>1743130</v>
      </c>
      <c r="J136" s="1245">
        <f>인건비집계!$I$24</f>
        <v>422081</v>
      </c>
      <c r="K136" s="1245">
        <f>인건비집계!$L$24</f>
        <v>581043</v>
      </c>
      <c r="L136" s="1246">
        <f>SUM(I136:K136)</f>
        <v>2746254</v>
      </c>
      <c r="M136" s="1233">
        <f>보험료산정기준!$I$7</f>
        <v>0.9</v>
      </c>
      <c r="N136" s="1251">
        <f t="shared" ref="N136:N141" si="63">TRUNC(L136*M136%,0)</f>
        <v>24716</v>
      </c>
      <c r="O136" s="276"/>
    </row>
    <row r="137" spans="1:15" ht="21" customHeight="1">
      <c r="A137" s="1562"/>
      <c r="B137" s="1396"/>
      <c r="C137" s="1360"/>
      <c r="D137" s="1564"/>
      <c r="E137" s="1362"/>
      <c r="F137" s="429"/>
      <c r="G137" s="430" t="s">
        <v>150</v>
      </c>
      <c r="H137" s="68"/>
      <c r="I137" s="1245">
        <f t="shared" ref="I137:L137" si="64">I136</f>
        <v>1743130</v>
      </c>
      <c r="J137" s="1245">
        <f t="shared" si="64"/>
        <v>422081</v>
      </c>
      <c r="K137" s="1245">
        <f t="shared" si="64"/>
        <v>581043</v>
      </c>
      <c r="L137" s="1246">
        <f t="shared" si="64"/>
        <v>2746254</v>
      </c>
      <c r="M137" s="1234">
        <f>보험료산정기준!$I$8</f>
        <v>4.5</v>
      </c>
      <c r="N137" s="1251">
        <f t="shared" si="63"/>
        <v>123581</v>
      </c>
      <c r="O137" s="276"/>
    </row>
    <row r="138" spans="1:15" ht="21" customHeight="1">
      <c r="A138" s="1562"/>
      <c r="B138" s="1396"/>
      <c r="C138" s="1360"/>
      <c r="D138" s="1564"/>
      <c r="E138" s="1362"/>
      <c r="F138" s="429"/>
      <c r="G138" s="430" t="s">
        <v>135</v>
      </c>
      <c r="H138" s="68"/>
      <c r="I138" s="1245">
        <f t="shared" ref="I138:L138" si="65">I137</f>
        <v>1743130</v>
      </c>
      <c r="J138" s="1245">
        <f t="shared" si="65"/>
        <v>422081</v>
      </c>
      <c r="K138" s="1245">
        <f t="shared" si="65"/>
        <v>581043</v>
      </c>
      <c r="L138" s="1246">
        <f t="shared" si="65"/>
        <v>2746254</v>
      </c>
      <c r="M138" s="1234">
        <f>보험료산정기준!$I$9</f>
        <v>1.1499999999999999</v>
      </c>
      <c r="N138" s="1251">
        <f t="shared" si="63"/>
        <v>31581</v>
      </c>
      <c r="O138" s="276"/>
    </row>
    <row r="139" spans="1:15" ht="21" customHeight="1">
      <c r="A139" s="1562"/>
      <c r="B139" s="1396"/>
      <c r="C139" s="1360"/>
      <c r="D139" s="1564"/>
      <c r="E139" s="1362"/>
      <c r="F139" s="429"/>
      <c r="G139" s="430" t="s">
        <v>151</v>
      </c>
      <c r="H139" s="68"/>
      <c r="I139" s="1245">
        <f t="shared" ref="I139:L139" si="66">I138</f>
        <v>1743130</v>
      </c>
      <c r="J139" s="1245">
        <f t="shared" si="66"/>
        <v>422081</v>
      </c>
      <c r="K139" s="1245">
        <f t="shared" si="66"/>
        <v>581043</v>
      </c>
      <c r="L139" s="1246">
        <f t="shared" si="66"/>
        <v>2746254</v>
      </c>
      <c r="M139" s="1234">
        <f>보험료산정기준!$I$10</f>
        <v>3.5449999999999999</v>
      </c>
      <c r="N139" s="1251">
        <f t="shared" si="63"/>
        <v>97354</v>
      </c>
      <c r="O139" s="276"/>
    </row>
    <row r="140" spans="1:15" ht="21" customHeight="1">
      <c r="A140" s="1562"/>
      <c r="B140" s="1396"/>
      <c r="C140" s="1360"/>
      <c r="D140" s="1564"/>
      <c r="E140" s="1362"/>
      <c r="F140" s="429"/>
      <c r="G140" s="430" t="s">
        <v>210</v>
      </c>
      <c r="H140" s="68"/>
      <c r="I140" s="1245"/>
      <c r="J140" s="1245"/>
      <c r="K140" s="1245"/>
      <c r="L140" s="1246">
        <f>N139</f>
        <v>97354</v>
      </c>
      <c r="M140" s="1234">
        <f>보험료산정기준!$I$11</f>
        <v>12.81</v>
      </c>
      <c r="N140" s="1251">
        <f t="shared" si="63"/>
        <v>12471</v>
      </c>
      <c r="O140" s="276"/>
    </row>
    <row r="141" spans="1:15" ht="21" customHeight="1">
      <c r="A141" s="1562"/>
      <c r="B141" s="1396"/>
      <c r="C141" s="1360"/>
      <c r="D141" s="1564"/>
      <c r="E141" s="1362"/>
      <c r="F141" s="429"/>
      <c r="G141" s="430" t="s">
        <v>149</v>
      </c>
      <c r="H141" s="68"/>
      <c r="I141" s="1245">
        <f t="shared" ref="I141:L141" si="67">I137</f>
        <v>1743130</v>
      </c>
      <c r="J141" s="1245">
        <f t="shared" si="67"/>
        <v>422081</v>
      </c>
      <c r="K141" s="1245">
        <f t="shared" si="67"/>
        <v>581043</v>
      </c>
      <c r="L141" s="1246">
        <f t="shared" si="67"/>
        <v>2746254</v>
      </c>
      <c r="M141" s="1234">
        <f>보험료산정기준!$I$12</f>
        <v>0.06</v>
      </c>
      <c r="N141" s="1251">
        <f t="shared" si="63"/>
        <v>1647</v>
      </c>
      <c r="O141" s="276"/>
    </row>
    <row r="142" spans="1:15" ht="21" customHeight="1">
      <c r="A142" s="1562"/>
      <c r="B142" s="1396"/>
      <c r="C142" s="1360"/>
      <c r="D142" s="1564"/>
      <c r="E142" s="1362"/>
      <c r="F142" s="429"/>
      <c r="G142" s="430" t="s">
        <v>1036</v>
      </c>
      <c r="H142" s="68"/>
      <c r="I142" s="1245">
        <f t="shared" ref="I142:L142" si="68">I138</f>
        <v>1743130</v>
      </c>
      <c r="J142" s="1245">
        <f t="shared" si="68"/>
        <v>422081</v>
      </c>
      <c r="K142" s="1245">
        <f t="shared" si="68"/>
        <v>581043</v>
      </c>
      <c r="L142" s="1246">
        <f t="shared" si="68"/>
        <v>2746254</v>
      </c>
      <c r="M142" s="1234">
        <f>보험료산정기준!$I$13</f>
        <v>4.0000000000000001E-3</v>
      </c>
      <c r="N142" s="1251">
        <f>TRUNC(L142*M142%,0)</f>
        <v>109</v>
      </c>
      <c r="O142" s="276"/>
    </row>
    <row r="143" spans="1:15" ht="21" customHeight="1">
      <c r="A143" s="1562"/>
      <c r="B143" s="1396"/>
      <c r="C143" s="1360"/>
      <c r="D143" s="1564"/>
      <c r="E143" s="1362"/>
      <c r="F143" s="429"/>
      <c r="G143" s="430" t="s">
        <v>1037</v>
      </c>
      <c r="H143" s="68"/>
      <c r="I143" s="1245"/>
      <c r="J143" s="1245"/>
      <c r="K143" s="1245"/>
      <c r="L143" s="1246"/>
      <c r="M143" s="1234"/>
      <c r="N143" s="1251">
        <f>SUM(N136:N142)</f>
        <v>291459</v>
      </c>
      <c r="O143" s="276"/>
    </row>
    <row r="144" spans="1:15" ht="21" customHeight="1">
      <c r="A144" s="1563" t="s">
        <v>74</v>
      </c>
      <c r="B144" s="1563"/>
      <c r="C144" s="1360"/>
      <c r="D144" s="1564"/>
      <c r="E144" s="1362"/>
      <c r="F144" s="426"/>
      <c r="G144" s="425" t="s">
        <v>148</v>
      </c>
      <c r="H144" s="427"/>
      <c r="I144" s="1245"/>
      <c r="J144" s="1245"/>
      <c r="K144" s="1245"/>
      <c r="L144" s="1241"/>
      <c r="M144" s="1234"/>
      <c r="N144" s="1251">
        <f t="shared" ref="N144:N151" si="69">SUMIF($G$8:$G$143,$G144,$N$8:$N$143)</f>
        <v>549074</v>
      </c>
      <c r="O144" s="276"/>
    </row>
    <row r="145" spans="1:15" ht="21" customHeight="1">
      <c r="A145" s="1396"/>
      <c r="B145" s="1396"/>
      <c r="C145" s="1360"/>
      <c r="D145" s="1564"/>
      <c r="E145" s="1362"/>
      <c r="F145" s="368"/>
      <c r="G145" s="425" t="s">
        <v>150</v>
      </c>
      <c r="H145" s="369"/>
      <c r="I145" s="1245"/>
      <c r="J145" s="1245"/>
      <c r="K145" s="1245"/>
      <c r="L145" s="1245"/>
      <c r="M145" s="1234"/>
      <c r="N145" s="1251">
        <f t="shared" si="69"/>
        <v>2745400</v>
      </c>
      <c r="O145" s="276"/>
    </row>
    <row r="146" spans="1:15" ht="21" customHeight="1">
      <c r="A146" s="1396"/>
      <c r="B146" s="1396"/>
      <c r="C146" s="1360"/>
      <c r="D146" s="1564"/>
      <c r="E146" s="1362"/>
      <c r="F146" s="368"/>
      <c r="G146" s="425" t="s">
        <v>71</v>
      </c>
      <c r="H146" s="369"/>
      <c r="I146" s="1245"/>
      <c r="J146" s="1245"/>
      <c r="K146" s="1245"/>
      <c r="L146" s="1245"/>
      <c r="M146" s="1234"/>
      <c r="N146" s="1251">
        <f t="shared" si="69"/>
        <v>701593</v>
      </c>
      <c r="O146" s="276"/>
    </row>
    <row r="147" spans="1:15" ht="21" customHeight="1">
      <c r="A147" s="1396"/>
      <c r="B147" s="1396"/>
      <c r="C147" s="1360"/>
      <c r="D147" s="1564"/>
      <c r="E147" s="1362"/>
      <c r="F147" s="368"/>
      <c r="G147" s="425" t="s">
        <v>151</v>
      </c>
      <c r="H147" s="369"/>
      <c r="I147" s="1245"/>
      <c r="J147" s="1245"/>
      <c r="K147" s="1245"/>
      <c r="L147" s="1245"/>
      <c r="M147" s="1234"/>
      <c r="N147" s="1251">
        <f t="shared" si="69"/>
        <v>2162767</v>
      </c>
      <c r="O147" s="276"/>
    </row>
    <row r="148" spans="1:15" ht="21" customHeight="1">
      <c r="A148" s="1396"/>
      <c r="B148" s="1396"/>
      <c r="C148" s="1360"/>
      <c r="D148" s="1564"/>
      <c r="E148" s="1362"/>
      <c r="F148" s="368"/>
      <c r="G148" s="425" t="s">
        <v>72</v>
      </c>
      <c r="H148" s="369"/>
      <c r="I148" s="1245"/>
      <c r="J148" s="1245"/>
      <c r="K148" s="1245"/>
      <c r="L148" s="1245"/>
      <c r="M148" s="1234"/>
      <c r="N148" s="1251">
        <f t="shared" si="69"/>
        <v>277045</v>
      </c>
      <c r="O148" s="276"/>
    </row>
    <row r="149" spans="1:15" ht="21" customHeight="1">
      <c r="A149" s="1396"/>
      <c r="B149" s="1396"/>
      <c r="C149" s="1360"/>
      <c r="D149" s="1564"/>
      <c r="E149" s="1362"/>
      <c r="F149" s="429"/>
      <c r="G149" s="430" t="s">
        <v>149</v>
      </c>
      <c r="H149" s="68"/>
      <c r="I149" s="1245"/>
      <c r="J149" s="1245"/>
      <c r="K149" s="1245"/>
      <c r="L149" s="1245"/>
      <c r="M149" s="1234"/>
      <c r="N149" s="1251">
        <f t="shared" si="69"/>
        <v>36595</v>
      </c>
      <c r="O149" s="276"/>
    </row>
    <row r="150" spans="1:15" ht="21" customHeight="1">
      <c r="A150" s="1396"/>
      <c r="B150" s="1396"/>
      <c r="C150" s="1360"/>
      <c r="D150" s="1564"/>
      <c r="E150" s="1362"/>
      <c r="F150" s="429"/>
      <c r="G150" s="430" t="s">
        <v>633</v>
      </c>
      <c r="H150" s="68"/>
      <c r="I150" s="1245"/>
      <c r="J150" s="1245"/>
      <c r="K150" s="1245"/>
      <c r="L150" s="1245"/>
      <c r="M150" s="1234"/>
      <c r="N150" s="1251">
        <f t="shared" si="69"/>
        <v>2430</v>
      </c>
      <c r="O150" s="276"/>
    </row>
    <row r="151" spans="1:15" ht="21" customHeight="1">
      <c r="A151" s="1396"/>
      <c r="B151" s="1396"/>
      <c r="C151" s="1360"/>
      <c r="D151" s="1564"/>
      <c r="E151" s="1362"/>
      <c r="F151" s="429"/>
      <c r="G151" s="430" t="s">
        <v>73</v>
      </c>
      <c r="H151" s="68"/>
      <c r="I151" s="1245"/>
      <c r="J151" s="1245"/>
      <c r="K151" s="1245"/>
      <c r="L151" s="1246"/>
      <c r="M151" s="1234"/>
      <c r="N151" s="1251">
        <f t="shared" si="69"/>
        <v>6474904</v>
      </c>
      <c r="O151" s="276"/>
    </row>
    <row r="152" spans="1:15" s="433" customFormat="1" ht="14.25" customHeight="1">
      <c r="A152" s="25" t="str">
        <f>"주 1) 적용대상액 : "&amp;인건비집계!A1&amp;인건비집계!A2&amp;" 참조"</f>
        <v>주 1) 적용대상액 : [ 표 : 5 ] 인건비집계표 참조</v>
      </c>
      <c r="B152" s="25"/>
      <c r="C152" s="25"/>
      <c r="D152" s="25"/>
      <c r="E152" s="25"/>
      <c r="F152" s="25"/>
      <c r="G152" s="25"/>
      <c r="H152" s="25"/>
      <c r="I152" s="1247"/>
      <c r="J152" s="1248"/>
      <c r="K152" s="1248"/>
      <c r="L152" s="1249"/>
      <c r="M152" s="432"/>
      <c r="N152" s="1249"/>
      <c r="O152" s="25"/>
    </row>
    <row r="153" spans="1:15" s="433" customFormat="1" ht="14.25" customHeight="1">
      <c r="A153" s="25" t="str">
        <f>"   2) 비율(%) : "&amp;보험료산정기준!A1&amp;보험료산정기준!A2&amp;" 참조"</f>
        <v xml:space="preserve">   2) 비율(%) : [ 표 : 11 ] 보험료산정기준표 참조</v>
      </c>
      <c r="B153" s="25"/>
      <c r="C153" s="25"/>
      <c r="D153" s="25"/>
      <c r="E153" s="25"/>
      <c r="F153" s="25"/>
      <c r="G153" s="25"/>
      <c r="H153" s="25"/>
      <c r="I153" s="1247"/>
      <c r="J153" s="1248"/>
      <c r="K153" s="1248"/>
      <c r="L153" s="1249"/>
      <c r="M153" s="432"/>
      <c r="N153" s="1249"/>
      <c r="O153" s="25"/>
    </row>
    <row r="154" spans="1:15" ht="18.95" customHeight="1"/>
    <row r="155" spans="1:15" ht="18.95" customHeight="1"/>
    <row r="156" spans="1:15" ht="18.95" customHeight="1"/>
    <row r="157" spans="1:15" ht="18.95" customHeight="1"/>
    <row r="158" spans="1:15" ht="18.95" customHeight="1"/>
    <row r="159" spans="1:15" ht="18.95" customHeight="1"/>
    <row r="160" spans="1:15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  <row r="169" ht="18.95" customHeight="1"/>
    <row r="170" ht="18.95" customHeight="1"/>
    <row r="171" ht="18.95" customHeight="1"/>
    <row r="172" ht="18.95" customHeight="1"/>
    <row r="173" ht="18.95" customHeight="1"/>
    <row r="174" ht="18.95" customHeight="1"/>
    <row r="175" ht="18.95" customHeight="1"/>
    <row r="176" ht="18.95" customHeight="1"/>
    <row r="177" ht="18.95" customHeight="1"/>
    <row r="178" ht="18.95" customHeight="1"/>
    <row r="179" ht="18.95" customHeight="1"/>
    <row r="180" ht="18.95" customHeight="1"/>
    <row r="181" ht="18.95" customHeight="1"/>
    <row r="182" ht="18.95" customHeight="1"/>
    <row r="183" ht="18.95" customHeight="1"/>
    <row r="184" ht="18.95" customHeight="1"/>
    <row r="185" ht="18.95" customHeight="1"/>
    <row r="186" ht="18.95" customHeight="1"/>
    <row r="187" ht="18.95" customHeight="1"/>
    <row r="188" ht="18.95" customHeight="1"/>
    <row r="189" ht="18.95" customHeight="1"/>
    <row r="190" ht="18.95" customHeight="1"/>
    <row r="191" ht="18.95" customHeight="1"/>
    <row r="192" ht="18.95" customHeight="1"/>
    <row r="193" ht="18.95" customHeight="1"/>
    <row r="194" ht="18.95" customHeight="1"/>
    <row r="195" ht="18.95" customHeight="1"/>
    <row r="196" ht="18.95" customHeight="1"/>
    <row r="197" ht="18.95" customHeight="1"/>
    <row r="198" ht="18.95" customHeight="1"/>
    <row r="199" ht="18.95" customHeight="1"/>
    <row r="200" ht="18.95" customHeight="1"/>
    <row r="201" ht="18.95" customHeight="1"/>
    <row r="202" ht="18.95" customHeight="1"/>
    <row r="203" ht="18.95" customHeight="1"/>
    <row r="204" ht="18.95" customHeight="1"/>
    <row r="205" ht="18.95" customHeight="1"/>
    <row r="206" ht="18.95" customHeight="1"/>
    <row r="207" ht="18.95" customHeight="1"/>
    <row r="208" ht="18.95" customHeight="1"/>
    <row r="209" ht="18.95" customHeight="1"/>
    <row r="210" ht="18.95" customHeight="1"/>
    <row r="211" ht="18.95" customHeight="1"/>
    <row r="212" ht="18.95" customHeight="1"/>
    <row r="213" ht="18.95" customHeight="1"/>
    <row r="214" ht="18.95" customHeight="1"/>
    <row r="215" ht="18.95" customHeight="1"/>
    <row r="216" ht="18.95" customHeight="1"/>
    <row r="217" ht="18.95" customHeight="1"/>
    <row r="218" ht="18.95" customHeight="1"/>
    <row r="219" ht="18.95" customHeight="1"/>
    <row r="220" ht="18.95" customHeight="1"/>
    <row r="221" ht="18.95" customHeight="1"/>
    <row r="222" ht="18.95" customHeight="1"/>
    <row r="223" ht="18.95" customHeight="1"/>
    <row r="224" ht="18.95" customHeight="1"/>
    <row r="225" ht="18.95" customHeight="1"/>
    <row r="226" ht="18.95" customHeight="1"/>
    <row r="227" ht="18.95" customHeight="1"/>
    <row r="228" ht="18.95" customHeight="1"/>
    <row r="229" ht="18.95" customHeight="1"/>
    <row r="230" ht="18.95" customHeight="1"/>
    <row r="231" ht="18.95" customHeight="1"/>
    <row r="232" ht="18.95" customHeight="1"/>
    <row r="233" ht="18.95" customHeight="1"/>
    <row r="234" ht="18.95" customHeight="1"/>
    <row r="235" ht="18.95" customHeight="1"/>
    <row r="236" ht="18.95" customHeight="1"/>
    <row r="237" ht="18.95" customHeight="1"/>
    <row r="238" ht="18.95" customHeight="1"/>
    <row r="239" ht="18.95" customHeight="1"/>
    <row r="240" ht="18.95" customHeight="1"/>
    <row r="241" ht="18.95" customHeight="1"/>
    <row r="242" ht="18.95" customHeight="1"/>
    <row r="243" ht="18.95" customHeight="1"/>
    <row r="244" ht="18.95" customHeight="1"/>
    <row r="245" ht="18.95" customHeight="1"/>
    <row r="246" ht="18.95" customHeight="1"/>
    <row r="247" ht="18.95" customHeight="1"/>
    <row r="248" ht="18.95" customHeight="1"/>
    <row r="249" ht="18.95" customHeight="1"/>
    <row r="250" ht="18.95" customHeight="1"/>
    <row r="251" ht="18.95" customHeight="1"/>
    <row r="252" ht="18.95" customHeight="1"/>
    <row r="253" ht="18.95" customHeight="1"/>
    <row r="254" ht="18.95" customHeight="1"/>
    <row r="255" ht="18.95" customHeight="1"/>
    <row r="256" ht="18.95" customHeight="1"/>
    <row r="257" ht="18.95" customHeight="1"/>
    <row r="258" ht="18.95" customHeight="1"/>
    <row r="259" ht="18.95" customHeight="1"/>
    <row r="260" ht="18.95" customHeight="1"/>
    <row r="261" ht="18.95" customHeight="1"/>
    <row r="262" ht="18.95" customHeight="1"/>
    <row r="263" ht="18.95" customHeight="1"/>
    <row r="264" ht="18.95" customHeight="1"/>
    <row r="265" ht="18.95" customHeight="1"/>
    <row r="266" ht="18.95" customHeight="1"/>
    <row r="267" ht="18.95" customHeight="1"/>
    <row r="268" ht="18.95" customHeight="1"/>
    <row r="269" ht="18.95" customHeight="1"/>
    <row r="270" ht="18.95" customHeight="1"/>
    <row r="271" ht="18.95" customHeight="1"/>
    <row r="272" ht="18.95" customHeight="1"/>
    <row r="273" ht="18.95" customHeight="1"/>
    <row r="274" ht="18.95" customHeight="1"/>
    <row r="275" ht="18.95" customHeight="1"/>
    <row r="276" ht="18.95" customHeight="1"/>
    <row r="277" ht="18.95" customHeight="1"/>
    <row r="278" ht="18.95" customHeight="1"/>
    <row r="279" ht="18.95" customHeight="1"/>
    <row r="280" ht="18.95" customHeight="1"/>
    <row r="281" ht="18.95" customHeight="1"/>
    <row r="282" ht="18.95" customHeight="1"/>
    <row r="283" ht="18.95" customHeight="1"/>
  </sheetData>
  <mergeCells count="100">
    <mergeCell ref="A80:A87"/>
    <mergeCell ref="B80:B87"/>
    <mergeCell ref="C80:C87"/>
    <mergeCell ref="D80:D87"/>
    <mergeCell ref="E80:E87"/>
    <mergeCell ref="A120:A127"/>
    <mergeCell ref="B120:B127"/>
    <mergeCell ref="C120:C127"/>
    <mergeCell ref="D120:D127"/>
    <mergeCell ref="E120:E127"/>
    <mergeCell ref="A64:A71"/>
    <mergeCell ref="B64:B71"/>
    <mergeCell ref="C64:C71"/>
    <mergeCell ref="D64:D71"/>
    <mergeCell ref="E64:E71"/>
    <mergeCell ref="A88:A95"/>
    <mergeCell ref="B88:B95"/>
    <mergeCell ref="C88:C95"/>
    <mergeCell ref="D88:D95"/>
    <mergeCell ref="E88:E95"/>
    <mergeCell ref="O5:O6"/>
    <mergeCell ref="N5:N6"/>
    <mergeCell ref="E5:E6"/>
    <mergeCell ref="E16:E23"/>
    <mergeCell ref="G5:G6"/>
    <mergeCell ref="I5:L5"/>
    <mergeCell ref="M5:M6"/>
    <mergeCell ref="E8:E15"/>
    <mergeCell ref="A72:A79"/>
    <mergeCell ref="B72:B79"/>
    <mergeCell ref="C72:C79"/>
    <mergeCell ref="D72:D79"/>
    <mergeCell ref="E72:E79"/>
    <mergeCell ref="A5:A6"/>
    <mergeCell ref="A8:A15"/>
    <mergeCell ref="B8:B15"/>
    <mergeCell ref="C8:C15"/>
    <mergeCell ref="B5:B6"/>
    <mergeCell ref="C5:C6"/>
    <mergeCell ref="D5:D6"/>
    <mergeCell ref="B32:B39"/>
    <mergeCell ref="D8:D15"/>
    <mergeCell ref="C16:C23"/>
    <mergeCell ref="D32:D39"/>
    <mergeCell ref="A40:A47"/>
    <mergeCell ref="B48:B55"/>
    <mergeCell ref="C48:C55"/>
    <mergeCell ref="D48:D55"/>
    <mergeCell ref="B16:B23"/>
    <mergeCell ref="B40:B47"/>
    <mergeCell ref="C40:C47"/>
    <mergeCell ref="C32:C39"/>
    <mergeCell ref="A16:A23"/>
    <mergeCell ref="D16:D23"/>
    <mergeCell ref="A24:A31"/>
    <mergeCell ref="B24:B31"/>
    <mergeCell ref="D24:D31"/>
    <mergeCell ref="C24:C31"/>
    <mergeCell ref="A144:A151"/>
    <mergeCell ref="E32:E39"/>
    <mergeCell ref="E40:E47"/>
    <mergeCell ref="D40:D47"/>
    <mergeCell ref="A48:A55"/>
    <mergeCell ref="A56:A63"/>
    <mergeCell ref="A32:A39"/>
    <mergeCell ref="B56:B63"/>
    <mergeCell ref="C56:C63"/>
    <mergeCell ref="E144:E151"/>
    <mergeCell ref="B144:B151"/>
    <mergeCell ref="C144:C151"/>
    <mergeCell ref="D144:D151"/>
    <mergeCell ref="E48:E55"/>
    <mergeCell ref="D56:D63"/>
    <mergeCell ref="E56:E63"/>
    <mergeCell ref="A128:A135"/>
    <mergeCell ref="B128:B135"/>
    <mergeCell ref="C128:C135"/>
    <mergeCell ref="D128:D135"/>
    <mergeCell ref="E128:E135"/>
    <mergeCell ref="A136:A143"/>
    <mergeCell ref="B136:B143"/>
    <mergeCell ref="C136:C143"/>
    <mergeCell ref="D136:D143"/>
    <mergeCell ref="E136:E143"/>
    <mergeCell ref="E24:E31"/>
    <mergeCell ref="A112:A119"/>
    <mergeCell ref="B112:B119"/>
    <mergeCell ref="D112:D119"/>
    <mergeCell ref="C112:C119"/>
    <mergeCell ref="E112:E119"/>
    <mergeCell ref="A104:A111"/>
    <mergeCell ref="B104:B111"/>
    <mergeCell ref="C104:C111"/>
    <mergeCell ref="D104:D111"/>
    <mergeCell ref="E104:E111"/>
    <mergeCell ref="A96:A103"/>
    <mergeCell ref="B96:B103"/>
    <mergeCell ref="C96:C103"/>
    <mergeCell ref="D96:D103"/>
    <mergeCell ref="E96:E103"/>
  </mergeCells>
  <phoneticPr fontId="10" type="noConversion"/>
  <pageMargins left="0.78740157480314965" right="0.78740157480314965" top="0.98425196850393704" bottom="0.78740157480314965" header="0.51181102362204722" footer="0.51181102362204722"/>
  <pageSetup paperSize="9" scale="72" firstPageNumber="141" orientation="landscape" r:id="rId1"/>
  <headerFooter alignWithMargins="0">
    <oddFooter>&amp;C&amp;"바탕체,보통"&amp;13- &amp;P -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"/>
  <sheetViews>
    <sheetView showZeros="0" view="pageBreakPreview" zoomScaleNormal="80" zoomScaleSheetLayoutView="100" workbookViewId="0">
      <selection activeCell="K11" sqref="K11"/>
    </sheetView>
  </sheetViews>
  <sheetFormatPr defaultColWidth="8" defaultRowHeight="34.15" customHeight="1"/>
  <cols>
    <col min="1" max="1" width="12.77734375" style="382" customWidth="1"/>
    <col min="2" max="2" width="11.109375" style="382" bestFit="1" customWidth="1"/>
    <col min="3" max="3" width="1.109375" style="382" customWidth="1"/>
    <col min="4" max="4" width="12.109375" style="382" bestFit="1" customWidth="1"/>
    <col min="5" max="5" width="1.109375" style="382" customWidth="1"/>
    <col min="6" max="6" width="11.5546875" style="383" customWidth="1"/>
    <col min="7" max="7" width="5.77734375" style="383" customWidth="1"/>
    <col min="8" max="9" width="11.5546875" style="383" customWidth="1"/>
    <col min="10" max="10" width="5.77734375" style="383" customWidth="1"/>
    <col min="11" max="12" width="11.5546875" style="383" customWidth="1"/>
    <col min="13" max="13" width="5.77734375" style="383" customWidth="1"/>
    <col min="14" max="15" width="11.5546875" style="383" customWidth="1"/>
    <col min="16" max="16" width="5.77734375" style="383" customWidth="1"/>
    <col min="17" max="18" width="11.5546875" style="383" customWidth="1"/>
    <col min="19" max="21" width="0" style="382" hidden="1" customWidth="1"/>
    <col min="22" max="22" width="12.77734375" style="382" hidden="1" customWidth="1"/>
    <col min="23" max="23" width="11.109375" style="382" hidden="1" customWidth="1"/>
    <col min="24" max="24" width="5.77734375" style="383" hidden="1" customWidth="1"/>
    <col min="25" max="33" width="11.5546875" style="383" hidden="1" customWidth="1"/>
    <col min="34" max="34" width="0" style="382" hidden="1" customWidth="1"/>
    <col min="35" max="16384" width="8" style="382"/>
  </cols>
  <sheetData>
    <row r="1" spans="1:33" ht="20.100000000000001" customHeight="1">
      <c r="A1" s="1" t="str">
        <f>"[ 표 : "&amp;S1&amp;" ] "</f>
        <v xml:space="preserve">[ 표 : 19 ] </v>
      </c>
      <c r="S1" s="382">
        <f>'고정)인적보험료'!P1+1</f>
        <v>19</v>
      </c>
      <c r="V1" s="1" t="str">
        <f>"[ 표 : "&amp;AH1&amp;" ] "</f>
        <v xml:space="preserve">[ 표 :  ] </v>
      </c>
    </row>
    <row r="2" spans="1:33" s="386" customFormat="1" ht="39.950000000000003" customHeight="1">
      <c r="A2" s="384" t="s">
        <v>268</v>
      </c>
      <c r="B2" s="384"/>
      <c r="C2" s="384"/>
      <c r="D2" s="384"/>
      <c r="E2" s="384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V2" s="384" t="s">
        <v>268</v>
      </c>
      <c r="W2" s="384"/>
      <c r="X2" s="385"/>
      <c r="Y2" s="385"/>
      <c r="Z2" s="385"/>
      <c r="AA2" s="385"/>
      <c r="AB2" s="385"/>
      <c r="AC2" s="385"/>
      <c r="AD2" s="385"/>
      <c r="AE2" s="385"/>
      <c r="AF2" s="385"/>
      <c r="AG2" s="385"/>
    </row>
    <row r="3" spans="1:33" ht="11.25" customHeight="1">
      <c r="A3" s="387"/>
      <c r="B3" s="387"/>
      <c r="C3" s="387"/>
      <c r="D3" s="387"/>
      <c r="E3" s="387"/>
      <c r="F3" s="388"/>
      <c r="G3" s="388"/>
      <c r="H3" s="388"/>
      <c r="I3" s="388"/>
      <c r="J3" s="388"/>
      <c r="K3" s="388"/>
      <c r="L3" s="388"/>
      <c r="M3" s="388"/>
      <c r="N3" s="388"/>
      <c r="O3" s="388"/>
      <c r="P3" s="388"/>
      <c r="Q3" s="388"/>
      <c r="R3" s="388"/>
      <c r="V3" s="387"/>
      <c r="W3" s="387"/>
      <c r="X3" s="388"/>
      <c r="Y3" s="388"/>
      <c r="Z3" s="388"/>
      <c r="AA3" s="388"/>
      <c r="AB3" s="388"/>
      <c r="AC3" s="388"/>
      <c r="AD3" s="388"/>
      <c r="AE3" s="388"/>
      <c r="AF3" s="388"/>
      <c r="AG3" s="388"/>
    </row>
    <row r="4" spans="1:33" ht="20.100000000000001" customHeight="1">
      <c r="B4" s="387"/>
      <c r="C4" s="387"/>
      <c r="D4" s="387"/>
      <c r="E4" s="389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90" t="s">
        <v>49</v>
      </c>
      <c r="W4" s="387"/>
      <c r="X4" s="388"/>
      <c r="Y4" s="388"/>
      <c r="Z4" s="388"/>
      <c r="AA4" s="388"/>
      <c r="AB4" s="388"/>
      <c r="AC4" s="388"/>
      <c r="AD4" s="388"/>
      <c r="AE4" s="388"/>
      <c r="AF4" s="388"/>
      <c r="AG4" s="390" t="s">
        <v>49</v>
      </c>
    </row>
    <row r="5" spans="1:33" ht="24.95" customHeight="1">
      <c r="A5" s="1339" t="s">
        <v>216</v>
      </c>
      <c r="B5" s="1339" t="s">
        <v>167</v>
      </c>
      <c r="C5" s="1349"/>
      <c r="D5" s="1349" t="s">
        <v>63</v>
      </c>
      <c r="E5" s="1358"/>
      <c r="F5" s="392" t="s">
        <v>120</v>
      </c>
      <c r="G5" s="392"/>
      <c r="H5" s="393"/>
      <c r="I5" s="392" t="s">
        <v>215</v>
      </c>
      <c r="J5" s="392"/>
      <c r="K5" s="393"/>
      <c r="L5" s="392" t="s">
        <v>422</v>
      </c>
      <c r="M5" s="392"/>
      <c r="N5" s="393"/>
      <c r="O5" s="392" t="s">
        <v>423</v>
      </c>
      <c r="P5" s="392"/>
      <c r="Q5" s="393"/>
      <c r="R5" s="1554" t="s">
        <v>99</v>
      </c>
      <c r="V5" s="1339" t="s">
        <v>216</v>
      </c>
      <c r="W5" s="1339" t="s">
        <v>167</v>
      </c>
      <c r="X5" s="392"/>
      <c r="Y5" s="392" t="s">
        <v>120</v>
      </c>
      <c r="Z5" s="393"/>
      <c r="AA5" s="392" t="s">
        <v>215</v>
      </c>
      <c r="AB5" s="393"/>
      <c r="AC5" s="392" t="s">
        <v>422</v>
      </c>
      <c r="AD5" s="393"/>
      <c r="AE5" s="392" t="s">
        <v>423</v>
      </c>
      <c r="AF5" s="393"/>
      <c r="AG5" s="1554" t="s">
        <v>99</v>
      </c>
    </row>
    <row r="6" spans="1:33" ht="54" customHeight="1">
      <c r="A6" s="1340"/>
      <c r="B6" s="1340"/>
      <c r="C6" s="1350"/>
      <c r="D6" s="1350"/>
      <c r="E6" s="1359"/>
      <c r="F6" s="397" t="s">
        <v>66</v>
      </c>
      <c r="G6" s="397" t="s">
        <v>64</v>
      </c>
      <c r="H6" s="394" t="s">
        <v>65</v>
      </c>
      <c r="I6" s="397" t="s">
        <v>67</v>
      </c>
      <c r="J6" s="397" t="s">
        <v>64</v>
      </c>
      <c r="K6" s="394" t="s">
        <v>65</v>
      </c>
      <c r="L6" s="397" t="s">
        <v>425</v>
      </c>
      <c r="M6" s="397" t="s">
        <v>64</v>
      </c>
      <c r="N6" s="394" t="s">
        <v>65</v>
      </c>
      <c r="O6" s="397" t="s">
        <v>424</v>
      </c>
      <c r="P6" s="397" t="s">
        <v>64</v>
      </c>
      <c r="Q6" s="394" t="s">
        <v>65</v>
      </c>
      <c r="R6" s="1555"/>
      <c r="V6" s="1340"/>
      <c r="W6" s="1340"/>
      <c r="X6" s="397" t="s">
        <v>64</v>
      </c>
      <c r="Y6" s="397" t="s">
        <v>66</v>
      </c>
      <c r="Z6" s="394" t="s">
        <v>65</v>
      </c>
      <c r="AA6" s="397" t="s">
        <v>67</v>
      </c>
      <c r="AB6" s="394" t="s">
        <v>65</v>
      </c>
      <c r="AC6" s="397" t="s">
        <v>425</v>
      </c>
      <c r="AD6" s="394" t="s">
        <v>65</v>
      </c>
      <c r="AE6" s="397" t="s">
        <v>424</v>
      </c>
      <c r="AF6" s="394" t="s">
        <v>65</v>
      </c>
      <c r="AG6" s="1555"/>
    </row>
    <row r="7" spans="1:33" ht="28.5" customHeight="1">
      <c r="A7" s="398"/>
      <c r="B7" s="398"/>
      <c r="C7" s="399"/>
      <c r="D7" s="399"/>
      <c r="E7" s="400"/>
      <c r="F7" s="401" t="s">
        <v>213</v>
      </c>
      <c r="G7" s="401" t="s">
        <v>137</v>
      </c>
      <c r="H7" s="402"/>
      <c r="I7" s="401" t="s">
        <v>426</v>
      </c>
      <c r="J7" s="401" t="s">
        <v>137</v>
      </c>
      <c r="K7" s="402"/>
      <c r="L7" s="401" t="s">
        <v>427</v>
      </c>
      <c r="M7" s="401" t="s">
        <v>137</v>
      </c>
      <c r="N7" s="402"/>
      <c r="O7" s="401" t="s">
        <v>428</v>
      </c>
      <c r="P7" s="401" t="s">
        <v>137</v>
      </c>
      <c r="Q7" s="402"/>
      <c r="R7" s="403"/>
      <c r="V7" s="398"/>
      <c r="W7" s="398"/>
      <c r="X7" s="401" t="s">
        <v>137</v>
      </c>
      <c r="Y7" s="401" t="s">
        <v>213</v>
      </c>
      <c r="Z7" s="402"/>
      <c r="AA7" s="401" t="s">
        <v>426</v>
      </c>
      <c r="AB7" s="402"/>
      <c r="AC7" s="401" t="s">
        <v>427</v>
      </c>
      <c r="AD7" s="402"/>
      <c r="AE7" s="401" t="s">
        <v>428</v>
      </c>
      <c r="AF7" s="402"/>
      <c r="AG7" s="403"/>
    </row>
    <row r="8" spans="1:33" ht="28.5" customHeight="1">
      <c r="A8" s="404" t="str">
        <f>IF(인건비집계!A8="","",인건비집계!A8)</f>
        <v>관리팀</v>
      </c>
      <c r="B8" s="405" t="str">
        <f>IF(인건비집계!B8="","",인건비집계!B8)</f>
        <v>관리소장</v>
      </c>
      <c r="C8" s="406"/>
      <c r="D8" s="407" t="str">
        <f>IF(인건비집계!D8="","",인건비집계!D8)</f>
        <v>고급기술자</v>
      </c>
      <c r="E8" s="408"/>
      <c r="F8" s="409">
        <f>'고정)피복비'!H12</f>
        <v>14226</v>
      </c>
      <c r="G8" s="410">
        <f>투입인원!F8</f>
        <v>1</v>
      </c>
      <c r="H8" s="409">
        <f>TRUNC(F8*G8)</f>
        <v>14226</v>
      </c>
      <c r="I8" s="409">
        <f>'고정)식대'!G8</f>
        <v>140000</v>
      </c>
      <c r="J8" s="410">
        <f>G8</f>
        <v>1</v>
      </c>
      <c r="K8" s="409">
        <f>TRUNC(I8*J8)</f>
        <v>140000</v>
      </c>
      <c r="L8" s="409">
        <f>'고정)건강검진비'!G11</f>
        <v>28322</v>
      </c>
      <c r="M8" s="410">
        <f t="shared" ref="M8" si="0">J8</f>
        <v>1</v>
      </c>
      <c r="N8" s="409">
        <f>TRUNC(L8*M8)</f>
        <v>28322</v>
      </c>
      <c r="O8" s="409">
        <f>'고정)의약품'!G11</f>
        <v>478</v>
      </c>
      <c r="P8" s="410">
        <f t="shared" ref="P8" si="1">M8</f>
        <v>1</v>
      </c>
      <c r="Q8" s="409">
        <f>TRUNC(O8*P8)</f>
        <v>478</v>
      </c>
      <c r="R8" s="411">
        <f>SUM(H8,K8,N8,Q8)</f>
        <v>183026</v>
      </c>
      <c r="V8" s="404" t="str">
        <f>A8</f>
        <v>관리팀</v>
      </c>
      <c r="W8" s="405" t="str">
        <f>B8</f>
        <v>관리소장</v>
      </c>
      <c r="X8" s="410">
        <f>'고정)복리후생비집계'!G8</f>
        <v>1</v>
      </c>
      <c r="Y8" s="409">
        <f>F8</f>
        <v>14226</v>
      </c>
      <c r="Z8" s="409">
        <f>H8</f>
        <v>14226</v>
      </c>
      <c r="AA8" s="409">
        <f>I8</f>
        <v>140000</v>
      </c>
      <c r="AB8" s="409">
        <f>K8</f>
        <v>140000</v>
      </c>
      <c r="AC8" s="409">
        <f>L8</f>
        <v>28322</v>
      </c>
      <c r="AD8" s="409">
        <f>N8</f>
        <v>28322</v>
      </c>
      <c r="AE8" s="409">
        <f>O8</f>
        <v>478</v>
      </c>
      <c r="AF8" s="409">
        <f>Q8</f>
        <v>478</v>
      </c>
      <c r="AG8" s="411">
        <f>SUM(Z8,AB8,AD8,AF8)</f>
        <v>183026</v>
      </c>
    </row>
    <row r="9" spans="1:33" ht="28.5" customHeight="1">
      <c r="A9" s="404" t="str">
        <f>IF(인건비집계!A9="","",인건비집계!A9)</f>
        <v>관리팀</v>
      </c>
      <c r="B9" s="405" t="str">
        <f>IF(인건비집계!B9="","",인건비집계!B9)</f>
        <v>관리팀장</v>
      </c>
      <c r="C9" s="406"/>
      <c r="D9" s="407" t="str">
        <f>IF(인건비집계!D9="","",인건비집계!D9)</f>
        <v>고급기술자</v>
      </c>
      <c r="E9" s="408"/>
      <c r="F9" s="409">
        <f t="shared" ref="F9:F24" si="2">$F$8</f>
        <v>14226</v>
      </c>
      <c r="G9" s="410">
        <f>투입인원!F9</f>
        <v>1</v>
      </c>
      <c r="H9" s="409">
        <f t="shared" ref="H9:H24" si="3">TRUNC(F9*G9)</f>
        <v>14226</v>
      </c>
      <c r="I9" s="409">
        <f>'고정)식대'!G11</f>
        <v>152233</v>
      </c>
      <c r="J9" s="410">
        <f t="shared" ref="J9:J24" si="4">G9</f>
        <v>1</v>
      </c>
      <c r="K9" s="409">
        <f t="shared" ref="K9:K24" si="5">TRUNC(I9*J9)</f>
        <v>152233</v>
      </c>
      <c r="L9" s="409">
        <f>$L$8</f>
        <v>28322</v>
      </c>
      <c r="M9" s="410">
        <f t="shared" ref="M9:M24" si="6">J9</f>
        <v>1</v>
      </c>
      <c r="N9" s="409">
        <f t="shared" ref="N9:N24" si="7">TRUNC(L9*M9)</f>
        <v>28322</v>
      </c>
      <c r="O9" s="409">
        <f>$O$8</f>
        <v>478</v>
      </c>
      <c r="P9" s="410">
        <f t="shared" ref="P9:P24" si="8">M9</f>
        <v>1</v>
      </c>
      <c r="Q9" s="409">
        <f t="shared" ref="Q9:Q24" si="9">TRUNC(O9*P9)</f>
        <v>478</v>
      </c>
      <c r="R9" s="411">
        <f t="shared" ref="R9:R24" si="10">SUM(H9,K9,N9,Q9)</f>
        <v>195259</v>
      </c>
      <c r="V9" s="404" t="str">
        <f t="shared" ref="V9:V24" si="11">A9</f>
        <v>관리팀</v>
      </c>
      <c r="W9" s="405" t="str">
        <f t="shared" ref="W9:W24" si="12">B9</f>
        <v>관리팀장</v>
      </c>
      <c r="X9" s="410">
        <f>'고정)복리후생비집계'!G9</f>
        <v>1</v>
      </c>
      <c r="Y9" s="409">
        <f t="shared" ref="Y9:Y24" si="13">F9</f>
        <v>14226</v>
      </c>
      <c r="Z9" s="409">
        <f t="shared" ref="Z9:Z24" si="14">H9</f>
        <v>14226</v>
      </c>
      <c r="AA9" s="409">
        <f t="shared" ref="AA9:AA24" si="15">I9</f>
        <v>152233</v>
      </c>
      <c r="AB9" s="409">
        <f t="shared" ref="AB9:AB24" si="16">K9</f>
        <v>152233</v>
      </c>
      <c r="AC9" s="409">
        <f t="shared" ref="AC9:AC24" si="17">L9</f>
        <v>28322</v>
      </c>
      <c r="AD9" s="409">
        <f t="shared" ref="AD9:AD24" si="18">N9</f>
        <v>28322</v>
      </c>
      <c r="AE9" s="409">
        <f t="shared" ref="AE9:AE24" si="19">O9</f>
        <v>478</v>
      </c>
      <c r="AF9" s="409">
        <f t="shared" ref="AF9:AF24" si="20">Q9</f>
        <v>478</v>
      </c>
      <c r="AG9" s="411">
        <f t="shared" ref="AG9:AG24" si="21">SUM(Z9,AB9,AD9,AF9)</f>
        <v>195259</v>
      </c>
    </row>
    <row r="10" spans="1:33" ht="28.5" customHeight="1">
      <c r="A10" s="404" t="str">
        <f>IF(인건비집계!A10="","",인건비집계!A10)</f>
        <v>관리팀</v>
      </c>
      <c r="B10" s="405" t="str">
        <f>IF(인건비집계!B10="","",인건비집계!B10)</f>
        <v>관리팀원</v>
      </c>
      <c r="C10" s="406"/>
      <c r="D10" s="407" t="str">
        <f>IF(인건비집계!D10="","",인건비집계!D10)</f>
        <v>초급숙련기술자</v>
      </c>
      <c r="E10" s="408"/>
      <c r="F10" s="409">
        <f t="shared" si="2"/>
        <v>14226</v>
      </c>
      <c r="G10" s="410">
        <f>투입인원!F10</f>
        <v>1</v>
      </c>
      <c r="H10" s="409">
        <f t="shared" ref="H10" si="22">TRUNC(F10*G10)</f>
        <v>14226</v>
      </c>
      <c r="I10" s="409">
        <f>I9</f>
        <v>152233</v>
      </c>
      <c r="J10" s="410">
        <f t="shared" ref="J10" si="23">G10</f>
        <v>1</v>
      </c>
      <c r="K10" s="409">
        <f t="shared" ref="K10" si="24">TRUNC(I10*J10)</f>
        <v>152233</v>
      </c>
      <c r="L10" s="409">
        <f>$L$8</f>
        <v>28322</v>
      </c>
      <c r="M10" s="410">
        <f t="shared" ref="M10" si="25">J10</f>
        <v>1</v>
      </c>
      <c r="N10" s="409">
        <f t="shared" ref="N10" si="26">TRUNC(L10*M10)</f>
        <v>28322</v>
      </c>
      <c r="O10" s="409">
        <f>$O$8</f>
        <v>478</v>
      </c>
      <c r="P10" s="410">
        <f t="shared" ref="P10" si="27">M10</f>
        <v>1</v>
      </c>
      <c r="Q10" s="409">
        <f t="shared" ref="Q10" si="28">TRUNC(O10*P10)</f>
        <v>478</v>
      </c>
      <c r="R10" s="411">
        <f t="shared" ref="R10" si="29">SUM(H10,K10,N10,Q10)</f>
        <v>195259</v>
      </c>
      <c r="V10" s="404"/>
      <c r="W10" s="405"/>
      <c r="X10" s="410"/>
      <c r="Y10" s="409"/>
      <c r="Z10" s="409"/>
      <c r="AA10" s="409"/>
      <c r="AB10" s="409"/>
      <c r="AC10" s="409"/>
      <c r="AD10" s="409"/>
      <c r="AE10" s="409"/>
      <c r="AF10" s="409"/>
      <c r="AG10" s="411"/>
    </row>
    <row r="11" spans="1:33" ht="28.5" customHeight="1">
      <c r="A11" s="404" t="str">
        <f>IF(인건비집계!A11="","",인건비집계!A11)</f>
        <v>운영팀</v>
      </c>
      <c r="B11" s="405" t="str">
        <f>IF(인건비집계!B11="","",인건비집계!B11)</f>
        <v>전기팀장</v>
      </c>
      <c r="C11" s="406"/>
      <c r="D11" s="407" t="str">
        <f>IF(인건비집계!D11="","",인건비집계!D11)</f>
        <v>중급기술자</v>
      </c>
      <c r="E11" s="408"/>
      <c r="F11" s="409">
        <f t="shared" si="2"/>
        <v>14226</v>
      </c>
      <c r="G11" s="410">
        <f>투입인원!F11</f>
        <v>2</v>
      </c>
      <c r="H11" s="409">
        <f t="shared" si="3"/>
        <v>28452</v>
      </c>
      <c r="I11" s="409">
        <f>I10</f>
        <v>152233</v>
      </c>
      <c r="J11" s="410">
        <f t="shared" si="4"/>
        <v>2</v>
      </c>
      <c r="K11" s="409">
        <f t="shared" si="5"/>
        <v>304466</v>
      </c>
      <c r="L11" s="409">
        <f t="shared" ref="L11:L24" si="30">$L$8</f>
        <v>28322</v>
      </c>
      <c r="M11" s="410">
        <f t="shared" si="6"/>
        <v>2</v>
      </c>
      <c r="N11" s="409">
        <f t="shared" si="7"/>
        <v>56644</v>
      </c>
      <c r="O11" s="409">
        <f t="shared" ref="O11:O24" si="31">$O$8</f>
        <v>478</v>
      </c>
      <c r="P11" s="410">
        <f t="shared" si="8"/>
        <v>2</v>
      </c>
      <c r="Q11" s="409">
        <f t="shared" si="9"/>
        <v>956</v>
      </c>
      <c r="R11" s="411">
        <f t="shared" si="10"/>
        <v>390518</v>
      </c>
      <c r="V11" s="404" t="str">
        <f t="shared" si="11"/>
        <v>운영팀</v>
      </c>
      <c r="W11" s="405" t="str">
        <f t="shared" si="12"/>
        <v>전기팀장</v>
      </c>
      <c r="X11" s="410">
        <f>'고정)복리후생비집계'!G11</f>
        <v>2</v>
      </c>
      <c r="Y11" s="409">
        <f t="shared" si="13"/>
        <v>14226</v>
      </c>
      <c r="Z11" s="409">
        <f t="shared" si="14"/>
        <v>28452</v>
      </c>
      <c r="AA11" s="409">
        <f t="shared" si="15"/>
        <v>152233</v>
      </c>
      <c r="AB11" s="409">
        <f t="shared" si="16"/>
        <v>304466</v>
      </c>
      <c r="AC11" s="409">
        <f t="shared" si="17"/>
        <v>28322</v>
      </c>
      <c r="AD11" s="409">
        <f t="shared" si="18"/>
        <v>56644</v>
      </c>
      <c r="AE11" s="409">
        <f t="shared" si="19"/>
        <v>478</v>
      </c>
      <c r="AF11" s="409">
        <f t="shared" si="20"/>
        <v>956</v>
      </c>
      <c r="AG11" s="411">
        <f t="shared" si="21"/>
        <v>390518</v>
      </c>
    </row>
    <row r="12" spans="1:33" ht="28.5" customHeight="1">
      <c r="A12" s="404" t="str">
        <f>IF(인건비집계!A12="","",인건비집계!A12)</f>
        <v>운영팀</v>
      </c>
      <c r="B12" s="405" t="str">
        <f>IF(인건비집계!B12="","",인건비집계!B12)</f>
        <v>기계팀장</v>
      </c>
      <c r="C12" s="406"/>
      <c r="D12" s="407" t="str">
        <f>IF(인건비집계!D12="","",인건비집계!D12)</f>
        <v>중급기술자</v>
      </c>
      <c r="E12" s="408"/>
      <c r="F12" s="409">
        <f t="shared" si="2"/>
        <v>14226</v>
      </c>
      <c r="G12" s="410">
        <f>투입인원!F12</f>
        <v>2</v>
      </c>
      <c r="H12" s="409">
        <f t="shared" si="3"/>
        <v>28452</v>
      </c>
      <c r="I12" s="409">
        <f t="shared" ref="I12:I24" si="32">I11</f>
        <v>152233</v>
      </c>
      <c r="J12" s="410">
        <f t="shared" si="4"/>
        <v>2</v>
      </c>
      <c r="K12" s="409">
        <f t="shared" si="5"/>
        <v>304466</v>
      </c>
      <c r="L12" s="409">
        <f t="shared" si="30"/>
        <v>28322</v>
      </c>
      <c r="M12" s="410">
        <f t="shared" si="6"/>
        <v>2</v>
      </c>
      <c r="N12" s="409">
        <f t="shared" si="7"/>
        <v>56644</v>
      </c>
      <c r="O12" s="409">
        <f t="shared" si="31"/>
        <v>478</v>
      </c>
      <c r="P12" s="410">
        <f t="shared" si="8"/>
        <v>2</v>
      </c>
      <c r="Q12" s="409">
        <f t="shared" si="9"/>
        <v>956</v>
      </c>
      <c r="R12" s="411">
        <f t="shared" si="10"/>
        <v>390518</v>
      </c>
      <c r="V12" s="404" t="str">
        <f t="shared" si="11"/>
        <v>운영팀</v>
      </c>
      <c r="W12" s="405" t="str">
        <f t="shared" si="12"/>
        <v>기계팀장</v>
      </c>
      <c r="X12" s="410">
        <f>'고정)복리후생비집계'!G12</f>
        <v>2</v>
      </c>
      <c r="Y12" s="409">
        <f t="shared" si="13"/>
        <v>14226</v>
      </c>
      <c r="Z12" s="409">
        <f t="shared" si="14"/>
        <v>28452</v>
      </c>
      <c r="AA12" s="409">
        <f t="shared" si="15"/>
        <v>152233</v>
      </c>
      <c r="AB12" s="409">
        <f t="shared" si="16"/>
        <v>304466</v>
      </c>
      <c r="AC12" s="409">
        <f t="shared" si="17"/>
        <v>28322</v>
      </c>
      <c r="AD12" s="409">
        <f t="shared" si="18"/>
        <v>56644</v>
      </c>
      <c r="AE12" s="409">
        <f t="shared" si="19"/>
        <v>478</v>
      </c>
      <c r="AF12" s="409">
        <f t="shared" si="20"/>
        <v>956</v>
      </c>
      <c r="AG12" s="411">
        <f t="shared" si="21"/>
        <v>390518</v>
      </c>
    </row>
    <row r="13" spans="1:33" ht="28.5" customHeight="1">
      <c r="A13" s="404" t="str">
        <f>IF(인건비집계!A13="","",인건비집계!A13)</f>
        <v>운영팀</v>
      </c>
      <c r="B13" s="405" t="str">
        <f>IF(인건비집계!B13="","",인건비집계!B13)</f>
        <v>전기담당</v>
      </c>
      <c r="C13" s="406"/>
      <c r="D13" s="407" t="str">
        <f>IF(인건비집계!D13="","",인건비집계!D13)</f>
        <v>초급기술자</v>
      </c>
      <c r="E13" s="408"/>
      <c r="F13" s="409">
        <f t="shared" si="2"/>
        <v>14226</v>
      </c>
      <c r="G13" s="410">
        <f>투입인원!F13</f>
        <v>2</v>
      </c>
      <c r="H13" s="409">
        <f t="shared" si="3"/>
        <v>28452</v>
      </c>
      <c r="I13" s="409">
        <f t="shared" si="32"/>
        <v>152233</v>
      </c>
      <c r="J13" s="410">
        <f t="shared" si="4"/>
        <v>2</v>
      </c>
      <c r="K13" s="409">
        <f t="shared" si="5"/>
        <v>304466</v>
      </c>
      <c r="L13" s="409">
        <f t="shared" si="30"/>
        <v>28322</v>
      </c>
      <c r="M13" s="410">
        <f t="shared" si="6"/>
        <v>2</v>
      </c>
      <c r="N13" s="409">
        <f t="shared" si="7"/>
        <v>56644</v>
      </c>
      <c r="O13" s="409">
        <f t="shared" si="31"/>
        <v>478</v>
      </c>
      <c r="P13" s="410">
        <f t="shared" si="8"/>
        <v>2</v>
      </c>
      <c r="Q13" s="409">
        <f t="shared" si="9"/>
        <v>956</v>
      </c>
      <c r="R13" s="411">
        <f t="shared" si="10"/>
        <v>390518</v>
      </c>
      <c r="V13" s="404" t="str">
        <f t="shared" si="11"/>
        <v>운영팀</v>
      </c>
      <c r="W13" s="405" t="str">
        <f t="shared" si="12"/>
        <v>전기담당</v>
      </c>
      <c r="X13" s="410">
        <f>'고정)복리후생비집계'!G13</f>
        <v>2</v>
      </c>
      <c r="Y13" s="409">
        <f t="shared" si="13"/>
        <v>14226</v>
      </c>
      <c r="Z13" s="409">
        <f t="shared" si="14"/>
        <v>28452</v>
      </c>
      <c r="AA13" s="409">
        <f t="shared" si="15"/>
        <v>152233</v>
      </c>
      <c r="AB13" s="409">
        <f t="shared" si="16"/>
        <v>304466</v>
      </c>
      <c r="AC13" s="409">
        <f t="shared" si="17"/>
        <v>28322</v>
      </c>
      <c r="AD13" s="409">
        <f t="shared" si="18"/>
        <v>56644</v>
      </c>
      <c r="AE13" s="409">
        <f t="shared" si="19"/>
        <v>478</v>
      </c>
      <c r="AF13" s="409">
        <f t="shared" si="20"/>
        <v>956</v>
      </c>
      <c r="AG13" s="411">
        <f t="shared" si="21"/>
        <v>390518</v>
      </c>
    </row>
    <row r="14" spans="1:33" ht="28.5" customHeight="1">
      <c r="A14" s="404" t="str">
        <f>IF(인건비집계!A14="","",인건비집계!A14)</f>
        <v>운영팀</v>
      </c>
      <c r="B14" s="405" t="str">
        <f>IF(인건비집계!B14="","",인건비집계!B14)</f>
        <v>기계담당</v>
      </c>
      <c r="C14" s="406"/>
      <c r="D14" s="407" t="str">
        <f>IF(인건비집계!D14="","",인건비집계!D14)</f>
        <v>초급기술자</v>
      </c>
      <c r="E14" s="408"/>
      <c r="F14" s="409">
        <f t="shared" si="2"/>
        <v>14226</v>
      </c>
      <c r="G14" s="410">
        <f>투입인원!F14</f>
        <v>2</v>
      </c>
      <c r="H14" s="409">
        <f t="shared" si="3"/>
        <v>28452</v>
      </c>
      <c r="I14" s="409">
        <f t="shared" si="32"/>
        <v>152233</v>
      </c>
      <c r="J14" s="410">
        <f t="shared" si="4"/>
        <v>2</v>
      </c>
      <c r="K14" s="409">
        <f t="shared" si="5"/>
        <v>304466</v>
      </c>
      <c r="L14" s="409">
        <f t="shared" si="30"/>
        <v>28322</v>
      </c>
      <c r="M14" s="410">
        <f t="shared" si="6"/>
        <v>2</v>
      </c>
      <c r="N14" s="409">
        <f t="shared" si="7"/>
        <v>56644</v>
      </c>
      <c r="O14" s="409">
        <f t="shared" si="31"/>
        <v>478</v>
      </c>
      <c r="P14" s="410">
        <f t="shared" si="8"/>
        <v>2</v>
      </c>
      <c r="Q14" s="409">
        <f t="shared" si="9"/>
        <v>956</v>
      </c>
      <c r="R14" s="411">
        <f t="shared" si="10"/>
        <v>390518</v>
      </c>
      <c r="V14" s="404" t="str">
        <f t="shared" si="11"/>
        <v>운영팀</v>
      </c>
      <c r="W14" s="405" t="str">
        <f t="shared" si="12"/>
        <v>기계담당</v>
      </c>
      <c r="X14" s="410">
        <f>'고정)복리후생비집계'!G14</f>
        <v>2</v>
      </c>
      <c r="Y14" s="409">
        <f t="shared" si="13"/>
        <v>14226</v>
      </c>
      <c r="Z14" s="409">
        <f t="shared" si="14"/>
        <v>28452</v>
      </c>
      <c r="AA14" s="409">
        <f t="shared" si="15"/>
        <v>152233</v>
      </c>
      <c r="AB14" s="409">
        <f t="shared" si="16"/>
        <v>304466</v>
      </c>
      <c r="AC14" s="409">
        <f t="shared" si="17"/>
        <v>28322</v>
      </c>
      <c r="AD14" s="409">
        <f t="shared" si="18"/>
        <v>56644</v>
      </c>
      <c r="AE14" s="409">
        <f t="shared" si="19"/>
        <v>478</v>
      </c>
      <c r="AF14" s="409">
        <f t="shared" si="20"/>
        <v>956</v>
      </c>
      <c r="AG14" s="411">
        <f t="shared" si="21"/>
        <v>390518</v>
      </c>
    </row>
    <row r="15" spans="1:33" ht="28.5" customHeight="1">
      <c r="A15" s="404" t="str">
        <f>IF(인건비집계!A15="","",인건비집계!A15)</f>
        <v>운영팀</v>
      </c>
      <c r="B15" s="405" t="str">
        <f>IF(인건비집계!B15="","",인건비집계!B15)</f>
        <v>전기담당</v>
      </c>
      <c r="C15" s="406"/>
      <c r="D15" s="407" t="str">
        <f>IF(인건비집계!D15="","",인건비집계!D15)</f>
        <v>고급숙련기술자</v>
      </c>
      <c r="E15" s="408"/>
      <c r="F15" s="409">
        <f t="shared" si="2"/>
        <v>14226</v>
      </c>
      <c r="G15" s="410">
        <f>투입인원!F15</f>
        <v>1</v>
      </c>
      <c r="H15" s="409">
        <f t="shared" si="3"/>
        <v>14226</v>
      </c>
      <c r="I15" s="409">
        <f t="shared" si="32"/>
        <v>152233</v>
      </c>
      <c r="J15" s="410">
        <f t="shared" si="4"/>
        <v>1</v>
      </c>
      <c r="K15" s="409">
        <f t="shared" si="5"/>
        <v>152233</v>
      </c>
      <c r="L15" s="409">
        <f t="shared" si="30"/>
        <v>28322</v>
      </c>
      <c r="M15" s="410">
        <f t="shared" si="6"/>
        <v>1</v>
      </c>
      <c r="N15" s="409">
        <f t="shared" si="7"/>
        <v>28322</v>
      </c>
      <c r="O15" s="409">
        <f t="shared" si="31"/>
        <v>478</v>
      </c>
      <c r="P15" s="410">
        <f t="shared" si="8"/>
        <v>1</v>
      </c>
      <c r="Q15" s="409">
        <f t="shared" si="9"/>
        <v>478</v>
      </c>
      <c r="R15" s="411">
        <f t="shared" si="10"/>
        <v>195259</v>
      </c>
      <c r="V15" s="404" t="str">
        <f t="shared" si="11"/>
        <v>운영팀</v>
      </c>
      <c r="W15" s="405" t="str">
        <f t="shared" si="12"/>
        <v>전기담당</v>
      </c>
      <c r="X15" s="410">
        <f>'고정)복리후생비집계'!G15</f>
        <v>1</v>
      </c>
      <c r="Y15" s="409">
        <f t="shared" si="13"/>
        <v>14226</v>
      </c>
      <c r="Z15" s="409">
        <f t="shared" si="14"/>
        <v>14226</v>
      </c>
      <c r="AA15" s="409">
        <f t="shared" si="15"/>
        <v>152233</v>
      </c>
      <c r="AB15" s="409">
        <f t="shared" si="16"/>
        <v>152233</v>
      </c>
      <c r="AC15" s="409">
        <f t="shared" si="17"/>
        <v>28322</v>
      </c>
      <c r="AD15" s="409">
        <f t="shared" si="18"/>
        <v>28322</v>
      </c>
      <c r="AE15" s="409">
        <f t="shared" si="19"/>
        <v>478</v>
      </c>
      <c r="AF15" s="409">
        <f t="shared" si="20"/>
        <v>478</v>
      </c>
      <c r="AG15" s="411">
        <f t="shared" si="21"/>
        <v>195259</v>
      </c>
    </row>
    <row r="16" spans="1:33" ht="28.5" customHeight="1">
      <c r="A16" s="404" t="str">
        <f>IF(인건비집계!A16="","",인건비집계!A16)</f>
        <v>운영팀</v>
      </c>
      <c r="B16" s="405" t="str">
        <f>IF(인건비집계!B16="","",인건비집계!B16)</f>
        <v>기계담당</v>
      </c>
      <c r="C16" s="406"/>
      <c r="D16" s="407" t="str">
        <f>IF(인건비집계!D16="","",인건비집계!D16)</f>
        <v>고급숙련기술자</v>
      </c>
      <c r="E16" s="408"/>
      <c r="F16" s="409">
        <f t="shared" si="2"/>
        <v>14226</v>
      </c>
      <c r="G16" s="410">
        <f>투입인원!F16</f>
        <v>1</v>
      </c>
      <c r="H16" s="409">
        <f t="shared" si="3"/>
        <v>14226</v>
      </c>
      <c r="I16" s="409">
        <f t="shared" si="32"/>
        <v>152233</v>
      </c>
      <c r="J16" s="410">
        <f t="shared" si="4"/>
        <v>1</v>
      </c>
      <c r="K16" s="409">
        <f t="shared" si="5"/>
        <v>152233</v>
      </c>
      <c r="L16" s="409">
        <f t="shared" si="30"/>
        <v>28322</v>
      </c>
      <c r="M16" s="410">
        <f t="shared" si="6"/>
        <v>1</v>
      </c>
      <c r="N16" s="409">
        <f t="shared" si="7"/>
        <v>28322</v>
      </c>
      <c r="O16" s="409">
        <f t="shared" si="31"/>
        <v>478</v>
      </c>
      <c r="P16" s="410">
        <f t="shared" si="8"/>
        <v>1</v>
      </c>
      <c r="Q16" s="409">
        <f t="shared" si="9"/>
        <v>478</v>
      </c>
      <c r="R16" s="411">
        <f t="shared" si="10"/>
        <v>195259</v>
      </c>
      <c r="V16" s="404" t="str">
        <f t="shared" si="11"/>
        <v>운영팀</v>
      </c>
      <c r="W16" s="405" t="str">
        <f t="shared" si="12"/>
        <v>기계담당</v>
      </c>
      <c r="X16" s="410">
        <f>'고정)복리후생비집계'!G16</f>
        <v>1</v>
      </c>
      <c r="Y16" s="409">
        <f t="shared" si="13"/>
        <v>14226</v>
      </c>
      <c r="Z16" s="409">
        <f t="shared" si="14"/>
        <v>14226</v>
      </c>
      <c r="AA16" s="409">
        <f t="shared" si="15"/>
        <v>152233</v>
      </c>
      <c r="AB16" s="409">
        <f t="shared" si="16"/>
        <v>152233</v>
      </c>
      <c r="AC16" s="409">
        <f t="shared" si="17"/>
        <v>28322</v>
      </c>
      <c r="AD16" s="409">
        <f t="shared" si="18"/>
        <v>28322</v>
      </c>
      <c r="AE16" s="409">
        <f t="shared" si="19"/>
        <v>478</v>
      </c>
      <c r="AF16" s="409">
        <f t="shared" si="20"/>
        <v>478</v>
      </c>
      <c r="AG16" s="411">
        <f t="shared" si="21"/>
        <v>195259</v>
      </c>
    </row>
    <row r="17" spans="1:33" ht="28.5" customHeight="1">
      <c r="A17" s="404" t="str">
        <f>IF(인건비집계!A17="","",인건비집계!A17)</f>
        <v>운영팀</v>
      </c>
      <c r="B17" s="405" t="str">
        <f>IF(인건비집계!B17="","",인건비집계!B17)</f>
        <v>전기담당</v>
      </c>
      <c r="C17" s="406"/>
      <c r="D17" s="407" t="str">
        <f>IF(인건비집계!D17="","",인건비집계!D17)</f>
        <v>중급숙련기술자</v>
      </c>
      <c r="E17" s="408"/>
      <c r="F17" s="409">
        <f t="shared" si="2"/>
        <v>14226</v>
      </c>
      <c r="G17" s="410">
        <f>투입인원!F17</f>
        <v>2</v>
      </c>
      <c r="H17" s="409">
        <f t="shared" si="3"/>
        <v>28452</v>
      </c>
      <c r="I17" s="409">
        <f t="shared" si="32"/>
        <v>152233</v>
      </c>
      <c r="J17" s="410">
        <f t="shared" si="4"/>
        <v>2</v>
      </c>
      <c r="K17" s="409">
        <f t="shared" si="5"/>
        <v>304466</v>
      </c>
      <c r="L17" s="409">
        <f t="shared" si="30"/>
        <v>28322</v>
      </c>
      <c r="M17" s="410">
        <f t="shared" si="6"/>
        <v>2</v>
      </c>
      <c r="N17" s="409">
        <f t="shared" si="7"/>
        <v>56644</v>
      </c>
      <c r="O17" s="409">
        <f t="shared" si="31"/>
        <v>478</v>
      </c>
      <c r="P17" s="410">
        <f t="shared" si="8"/>
        <v>2</v>
      </c>
      <c r="Q17" s="409">
        <f t="shared" si="9"/>
        <v>956</v>
      </c>
      <c r="R17" s="411">
        <f t="shared" si="10"/>
        <v>390518</v>
      </c>
      <c r="V17" s="404" t="str">
        <f t="shared" si="11"/>
        <v>운영팀</v>
      </c>
      <c r="W17" s="405" t="str">
        <f t="shared" si="12"/>
        <v>전기담당</v>
      </c>
      <c r="X17" s="410">
        <f>'고정)복리후생비집계'!G17</f>
        <v>2</v>
      </c>
      <c r="Y17" s="409">
        <f t="shared" si="13"/>
        <v>14226</v>
      </c>
      <c r="Z17" s="409">
        <f t="shared" si="14"/>
        <v>28452</v>
      </c>
      <c r="AA17" s="409">
        <f t="shared" si="15"/>
        <v>152233</v>
      </c>
      <c r="AB17" s="409">
        <f t="shared" si="16"/>
        <v>304466</v>
      </c>
      <c r="AC17" s="409">
        <f t="shared" si="17"/>
        <v>28322</v>
      </c>
      <c r="AD17" s="409">
        <f t="shared" si="18"/>
        <v>56644</v>
      </c>
      <c r="AE17" s="409">
        <f t="shared" si="19"/>
        <v>478</v>
      </c>
      <c r="AF17" s="409">
        <f t="shared" si="20"/>
        <v>956</v>
      </c>
      <c r="AG17" s="411">
        <f t="shared" si="21"/>
        <v>390518</v>
      </c>
    </row>
    <row r="18" spans="1:33" ht="28.5" customHeight="1">
      <c r="A18" s="404" t="str">
        <f>IF(인건비집계!A18="","",인건비집계!A18)</f>
        <v>운영팀</v>
      </c>
      <c r="B18" s="405" t="str">
        <f>IF(인건비집계!B18="","",인건비집계!B18)</f>
        <v>기계담당</v>
      </c>
      <c r="C18" s="406"/>
      <c r="D18" s="407" t="str">
        <f>IF(인건비집계!D18="","",인건비집계!D18)</f>
        <v>중급숙련기술자</v>
      </c>
      <c r="E18" s="408"/>
      <c r="F18" s="409">
        <f t="shared" si="2"/>
        <v>14226</v>
      </c>
      <c r="G18" s="410">
        <f>투입인원!F18</f>
        <v>2</v>
      </c>
      <c r="H18" s="409">
        <f t="shared" si="3"/>
        <v>28452</v>
      </c>
      <c r="I18" s="409">
        <f t="shared" si="32"/>
        <v>152233</v>
      </c>
      <c r="J18" s="410">
        <f t="shared" si="4"/>
        <v>2</v>
      </c>
      <c r="K18" s="409">
        <f t="shared" si="5"/>
        <v>304466</v>
      </c>
      <c r="L18" s="409">
        <f t="shared" si="30"/>
        <v>28322</v>
      </c>
      <c r="M18" s="410">
        <f t="shared" si="6"/>
        <v>2</v>
      </c>
      <c r="N18" s="409">
        <f t="shared" si="7"/>
        <v>56644</v>
      </c>
      <c r="O18" s="409">
        <f t="shared" si="31"/>
        <v>478</v>
      </c>
      <c r="P18" s="410">
        <f t="shared" si="8"/>
        <v>2</v>
      </c>
      <c r="Q18" s="409">
        <f t="shared" si="9"/>
        <v>956</v>
      </c>
      <c r="R18" s="411">
        <f t="shared" si="10"/>
        <v>390518</v>
      </c>
      <c r="V18" s="404" t="str">
        <f t="shared" si="11"/>
        <v>운영팀</v>
      </c>
      <c r="W18" s="405" t="str">
        <f t="shared" si="12"/>
        <v>기계담당</v>
      </c>
      <c r="X18" s="410">
        <f>'고정)복리후생비집계'!G18</f>
        <v>2</v>
      </c>
      <c r="Y18" s="409">
        <f t="shared" si="13"/>
        <v>14226</v>
      </c>
      <c r="Z18" s="409">
        <f t="shared" si="14"/>
        <v>28452</v>
      </c>
      <c r="AA18" s="409">
        <f t="shared" si="15"/>
        <v>152233</v>
      </c>
      <c r="AB18" s="409">
        <f t="shared" si="16"/>
        <v>304466</v>
      </c>
      <c r="AC18" s="409">
        <f t="shared" si="17"/>
        <v>28322</v>
      </c>
      <c r="AD18" s="409">
        <f t="shared" si="18"/>
        <v>56644</v>
      </c>
      <c r="AE18" s="409">
        <f t="shared" si="19"/>
        <v>478</v>
      </c>
      <c r="AF18" s="409">
        <f t="shared" si="20"/>
        <v>956</v>
      </c>
      <c r="AG18" s="411">
        <f t="shared" si="21"/>
        <v>390518</v>
      </c>
    </row>
    <row r="19" spans="1:33" ht="28.5" customHeight="1">
      <c r="A19" s="404" t="str">
        <f>IF(인건비집계!A19="","",인건비집계!A19)</f>
        <v>운영팀</v>
      </c>
      <c r="B19" s="405" t="str">
        <f>IF(인건비집계!B19="","",인건비집계!B19)</f>
        <v>전기담당</v>
      </c>
      <c r="C19" s="406"/>
      <c r="D19" s="407" t="str">
        <f>IF(인건비집계!D19="","",인건비집계!D19)</f>
        <v>초급숙련기술자</v>
      </c>
      <c r="E19" s="408"/>
      <c r="F19" s="409">
        <f t="shared" si="2"/>
        <v>14226</v>
      </c>
      <c r="G19" s="410">
        <f>투입인원!F19</f>
        <v>1</v>
      </c>
      <c r="H19" s="409">
        <f t="shared" si="3"/>
        <v>14226</v>
      </c>
      <c r="I19" s="409">
        <f t="shared" si="32"/>
        <v>152233</v>
      </c>
      <c r="J19" s="410">
        <f t="shared" si="4"/>
        <v>1</v>
      </c>
      <c r="K19" s="409">
        <f t="shared" si="5"/>
        <v>152233</v>
      </c>
      <c r="L19" s="409">
        <f t="shared" si="30"/>
        <v>28322</v>
      </c>
      <c r="M19" s="410">
        <f t="shared" si="6"/>
        <v>1</v>
      </c>
      <c r="N19" s="409">
        <f t="shared" si="7"/>
        <v>28322</v>
      </c>
      <c r="O19" s="409">
        <f t="shared" si="31"/>
        <v>478</v>
      </c>
      <c r="P19" s="410">
        <f t="shared" si="8"/>
        <v>1</v>
      </c>
      <c r="Q19" s="409">
        <f t="shared" si="9"/>
        <v>478</v>
      </c>
      <c r="R19" s="411">
        <f t="shared" si="10"/>
        <v>195259</v>
      </c>
      <c r="V19" s="404" t="str">
        <f t="shared" si="11"/>
        <v>운영팀</v>
      </c>
      <c r="W19" s="405" t="str">
        <f t="shared" si="12"/>
        <v>전기담당</v>
      </c>
      <c r="X19" s="410">
        <f>'고정)복리후생비집계'!G19</f>
        <v>1</v>
      </c>
      <c r="Y19" s="409">
        <f t="shared" si="13"/>
        <v>14226</v>
      </c>
      <c r="Z19" s="409">
        <f t="shared" si="14"/>
        <v>14226</v>
      </c>
      <c r="AA19" s="409">
        <f t="shared" si="15"/>
        <v>152233</v>
      </c>
      <c r="AB19" s="409">
        <f t="shared" si="16"/>
        <v>152233</v>
      </c>
      <c r="AC19" s="409">
        <f t="shared" si="17"/>
        <v>28322</v>
      </c>
      <c r="AD19" s="409">
        <f t="shared" si="18"/>
        <v>28322</v>
      </c>
      <c r="AE19" s="409">
        <f t="shared" si="19"/>
        <v>478</v>
      </c>
      <c r="AF19" s="409">
        <f t="shared" si="20"/>
        <v>478</v>
      </c>
      <c r="AG19" s="411">
        <f t="shared" si="21"/>
        <v>195259</v>
      </c>
    </row>
    <row r="20" spans="1:33" ht="28.5" customHeight="1">
      <c r="A20" s="404" t="str">
        <f>IF(인건비집계!A20="","",인건비집계!A20)</f>
        <v>운영팀</v>
      </c>
      <c r="B20" s="405" t="str">
        <f>IF(인건비집계!B20="","",인건비집계!B20)</f>
        <v>기계담당</v>
      </c>
      <c r="C20" s="406"/>
      <c r="D20" s="407" t="str">
        <f>IF(인건비집계!D20="","",인건비집계!D20)</f>
        <v>초급숙련기술자</v>
      </c>
      <c r="E20" s="408"/>
      <c r="F20" s="409">
        <f t="shared" si="2"/>
        <v>14226</v>
      </c>
      <c r="G20" s="410">
        <f>투입인원!F20</f>
        <v>1</v>
      </c>
      <c r="H20" s="409">
        <f t="shared" si="3"/>
        <v>14226</v>
      </c>
      <c r="I20" s="409">
        <f t="shared" si="32"/>
        <v>152233</v>
      </c>
      <c r="J20" s="410">
        <f t="shared" si="4"/>
        <v>1</v>
      </c>
      <c r="K20" s="409">
        <f t="shared" si="5"/>
        <v>152233</v>
      </c>
      <c r="L20" s="409">
        <f t="shared" si="30"/>
        <v>28322</v>
      </c>
      <c r="M20" s="410">
        <f t="shared" si="6"/>
        <v>1</v>
      </c>
      <c r="N20" s="409">
        <f t="shared" si="7"/>
        <v>28322</v>
      </c>
      <c r="O20" s="409">
        <f t="shared" si="31"/>
        <v>478</v>
      </c>
      <c r="P20" s="410">
        <f t="shared" si="8"/>
        <v>1</v>
      </c>
      <c r="Q20" s="409">
        <f t="shared" si="9"/>
        <v>478</v>
      </c>
      <c r="R20" s="411">
        <f t="shared" si="10"/>
        <v>195259</v>
      </c>
      <c r="V20" s="404"/>
      <c r="W20" s="405"/>
      <c r="X20" s="410"/>
      <c r="Y20" s="409"/>
      <c r="Z20" s="409"/>
      <c r="AA20" s="409"/>
      <c r="AB20" s="409"/>
      <c r="AC20" s="409"/>
      <c r="AD20" s="409"/>
      <c r="AE20" s="409"/>
      <c r="AF20" s="409"/>
      <c r="AG20" s="411"/>
    </row>
    <row r="21" spans="1:33" ht="28.5" customHeight="1">
      <c r="A21" s="404" t="str">
        <f>IF(인건비집계!A21="","",인건비집계!A21)</f>
        <v>환경팀</v>
      </c>
      <c r="B21" s="405" t="str">
        <f>IF(인건비집계!B21="","",인건비집계!B21)</f>
        <v>환경팀장</v>
      </c>
      <c r="C21" s="406"/>
      <c r="D21" s="407" t="str">
        <f>IF(인건비집계!D21="","",인건비집계!D21)</f>
        <v>초급숙련기술자</v>
      </c>
      <c r="E21" s="408"/>
      <c r="F21" s="409">
        <f t="shared" si="2"/>
        <v>14226</v>
      </c>
      <c r="G21" s="410">
        <f>투입인원!F21</f>
        <v>1</v>
      </c>
      <c r="H21" s="409">
        <f t="shared" ref="H21" si="33">TRUNC(F21*G21)</f>
        <v>14226</v>
      </c>
      <c r="I21" s="409">
        <f t="shared" si="32"/>
        <v>152233</v>
      </c>
      <c r="J21" s="410">
        <f t="shared" ref="J21" si="34">G21</f>
        <v>1</v>
      </c>
      <c r="K21" s="409">
        <f t="shared" ref="K21" si="35">TRUNC(I21*J21)</f>
        <v>152233</v>
      </c>
      <c r="L21" s="409">
        <f t="shared" si="30"/>
        <v>28322</v>
      </c>
      <c r="M21" s="410">
        <f t="shared" ref="M21" si="36">J21</f>
        <v>1</v>
      </c>
      <c r="N21" s="409">
        <f t="shared" ref="N21" si="37">TRUNC(L21*M21)</f>
        <v>28322</v>
      </c>
      <c r="O21" s="409">
        <f t="shared" si="31"/>
        <v>478</v>
      </c>
      <c r="P21" s="410">
        <f t="shared" ref="P21" si="38">M21</f>
        <v>1</v>
      </c>
      <c r="Q21" s="409">
        <f t="shared" ref="Q21" si="39">TRUNC(O21*P21)</f>
        <v>478</v>
      </c>
      <c r="R21" s="411">
        <f t="shared" ref="R21" si="40">SUM(H21,K21,N21,Q21)</f>
        <v>195259</v>
      </c>
      <c r="V21" s="404"/>
      <c r="W21" s="405"/>
      <c r="X21" s="410"/>
      <c r="Y21" s="409"/>
      <c r="Z21" s="409"/>
      <c r="AA21" s="409"/>
      <c r="AB21" s="409"/>
      <c r="AC21" s="409"/>
      <c r="AD21" s="409"/>
      <c r="AE21" s="409"/>
      <c r="AF21" s="409"/>
      <c r="AG21" s="411"/>
    </row>
    <row r="22" spans="1:33" ht="28.5" customHeight="1">
      <c r="A22" s="404" t="str">
        <f>IF(인건비집계!A22="","",인건비집계!A22)</f>
        <v>환경팀</v>
      </c>
      <c r="B22" s="405" t="str">
        <f>IF(인건비집계!B22="","",인건비집계!B22)</f>
        <v>환경팀원</v>
      </c>
      <c r="C22" s="406"/>
      <c r="D22" s="407" t="str">
        <f>IF(인건비집계!D22="","",인건비집계!D22)</f>
        <v>단순노무종사원</v>
      </c>
      <c r="E22" s="408"/>
      <c r="F22" s="409">
        <f t="shared" si="2"/>
        <v>14226</v>
      </c>
      <c r="G22" s="410">
        <f>투입인원!F22</f>
        <v>2</v>
      </c>
      <c r="H22" s="409">
        <f t="shared" si="3"/>
        <v>28452</v>
      </c>
      <c r="I22" s="409">
        <f t="shared" si="32"/>
        <v>152233</v>
      </c>
      <c r="J22" s="410">
        <f t="shared" si="4"/>
        <v>2</v>
      </c>
      <c r="K22" s="409">
        <f t="shared" si="5"/>
        <v>304466</v>
      </c>
      <c r="L22" s="409">
        <f t="shared" si="30"/>
        <v>28322</v>
      </c>
      <c r="M22" s="410">
        <f t="shared" si="6"/>
        <v>2</v>
      </c>
      <c r="N22" s="409">
        <f t="shared" si="7"/>
        <v>56644</v>
      </c>
      <c r="O22" s="409">
        <f t="shared" si="31"/>
        <v>478</v>
      </c>
      <c r="P22" s="410">
        <f t="shared" si="8"/>
        <v>2</v>
      </c>
      <c r="Q22" s="409">
        <f t="shared" si="9"/>
        <v>956</v>
      </c>
      <c r="R22" s="411">
        <f t="shared" si="10"/>
        <v>390518</v>
      </c>
      <c r="V22" s="404"/>
      <c r="W22" s="405"/>
      <c r="X22" s="410"/>
      <c r="Y22" s="409"/>
      <c r="Z22" s="409"/>
      <c r="AA22" s="409"/>
      <c r="AB22" s="409"/>
      <c r="AC22" s="409"/>
      <c r="AD22" s="409"/>
      <c r="AE22" s="409"/>
      <c r="AF22" s="409"/>
      <c r="AG22" s="411"/>
    </row>
    <row r="23" spans="1:33" ht="28.5" customHeight="1">
      <c r="A23" s="404" t="str">
        <f>IF(인건비집계!A23="","",인건비집계!A23)</f>
        <v>운반팀</v>
      </c>
      <c r="B23" s="405" t="str">
        <f>IF(인건비집계!B23="","",인건비집계!B23)</f>
        <v>운전원</v>
      </c>
      <c r="C23" s="406"/>
      <c r="D23" s="407" t="str">
        <f>IF(인건비집계!D23="","",인건비집계!D23)</f>
        <v>초급숙련기술자</v>
      </c>
      <c r="E23" s="408"/>
      <c r="F23" s="409">
        <f t="shared" si="2"/>
        <v>14226</v>
      </c>
      <c r="G23" s="410">
        <f>투입인원!F23</f>
        <v>1</v>
      </c>
      <c r="H23" s="409">
        <f t="shared" si="3"/>
        <v>14226</v>
      </c>
      <c r="I23" s="409">
        <f t="shared" si="32"/>
        <v>152233</v>
      </c>
      <c r="J23" s="410">
        <f t="shared" si="4"/>
        <v>1</v>
      </c>
      <c r="K23" s="409">
        <f t="shared" si="5"/>
        <v>152233</v>
      </c>
      <c r="L23" s="409">
        <f t="shared" si="30"/>
        <v>28322</v>
      </c>
      <c r="M23" s="410">
        <f t="shared" si="6"/>
        <v>1</v>
      </c>
      <c r="N23" s="409">
        <f t="shared" si="7"/>
        <v>28322</v>
      </c>
      <c r="O23" s="409">
        <f t="shared" si="31"/>
        <v>478</v>
      </c>
      <c r="P23" s="410">
        <f t="shared" si="8"/>
        <v>1</v>
      </c>
      <c r="Q23" s="409">
        <f t="shared" si="9"/>
        <v>478</v>
      </c>
      <c r="R23" s="411">
        <f t="shared" si="10"/>
        <v>195259</v>
      </c>
      <c r="V23" s="404"/>
      <c r="W23" s="405"/>
      <c r="X23" s="410"/>
      <c r="Y23" s="409"/>
      <c r="Z23" s="409"/>
      <c r="AA23" s="409"/>
      <c r="AB23" s="409"/>
      <c r="AC23" s="409"/>
      <c r="AD23" s="409"/>
      <c r="AE23" s="409"/>
      <c r="AF23" s="409"/>
      <c r="AG23" s="411"/>
    </row>
    <row r="24" spans="1:33" ht="28.5" customHeight="1">
      <c r="A24" s="404" t="str">
        <f>IF(인건비집계!A24="","",인건비집계!A24)</f>
        <v>운반팀</v>
      </c>
      <c r="B24" s="405" t="str">
        <f>IF(인건비집계!B24="","",인건비집계!B24)</f>
        <v>운반팀원</v>
      </c>
      <c r="C24" s="406"/>
      <c r="D24" s="407" t="str">
        <f>IF(인건비집계!D24="","",인건비집계!D24)</f>
        <v>단순노무종사원</v>
      </c>
      <c r="E24" s="408"/>
      <c r="F24" s="409">
        <f t="shared" si="2"/>
        <v>14226</v>
      </c>
      <c r="G24" s="410">
        <f>투입인원!F24</f>
        <v>2</v>
      </c>
      <c r="H24" s="409">
        <f t="shared" si="3"/>
        <v>28452</v>
      </c>
      <c r="I24" s="409">
        <f t="shared" si="32"/>
        <v>152233</v>
      </c>
      <c r="J24" s="410">
        <f t="shared" si="4"/>
        <v>2</v>
      </c>
      <c r="K24" s="409">
        <f t="shared" si="5"/>
        <v>304466</v>
      </c>
      <c r="L24" s="409">
        <f t="shared" si="30"/>
        <v>28322</v>
      </c>
      <c r="M24" s="410">
        <f t="shared" si="6"/>
        <v>2</v>
      </c>
      <c r="N24" s="409">
        <f t="shared" si="7"/>
        <v>56644</v>
      </c>
      <c r="O24" s="409">
        <f t="shared" si="31"/>
        <v>478</v>
      </c>
      <c r="P24" s="410">
        <f t="shared" si="8"/>
        <v>2</v>
      </c>
      <c r="Q24" s="409">
        <f t="shared" si="9"/>
        <v>956</v>
      </c>
      <c r="R24" s="411">
        <f t="shared" si="10"/>
        <v>390518</v>
      </c>
      <c r="V24" s="404" t="str">
        <f t="shared" si="11"/>
        <v>운반팀</v>
      </c>
      <c r="W24" s="405" t="str">
        <f t="shared" si="12"/>
        <v>운반팀원</v>
      </c>
      <c r="X24" s="410">
        <f>'고정)복리후생비집계'!G24</f>
        <v>2</v>
      </c>
      <c r="Y24" s="409">
        <f t="shared" si="13"/>
        <v>14226</v>
      </c>
      <c r="Z24" s="409">
        <f t="shared" si="14"/>
        <v>28452</v>
      </c>
      <c r="AA24" s="409">
        <f t="shared" si="15"/>
        <v>152233</v>
      </c>
      <c r="AB24" s="409">
        <f t="shared" si="16"/>
        <v>304466</v>
      </c>
      <c r="AC24" s="409">
        <f t="shared" si="17"/>
        <v>28322</v>
      </c>
      <c r="AD24" s="409">
        <f t="shared" si="18"/>
        <v>56644</v>
      </c>
      <c r="AE24" s="409">
        <f t="shared" si="19"/>
        <v>478</v>
      </c>
      <c r="AF24" s="409">
        <f t="shared" si="20"/>
        <v>956</v>
      </c>
      <c r="AG24" s="411">
        <f t="shared" si="21"/>
        <v>390518</v>
      </c>
    </row>
    <row r="25" spans="1:33" ht="41.25" customHeight="1">
      <c r="A25" s="22" t="s">
        <v>89</v>
      </c>
      <c r="B25" s="412"/>
      <c r="C25" s="413"/>
      <c r="D25" s="414"/>
      <c r="E25" s="415"/>
      <c r="F25" s="416"/>
      <c r="G25" s="417">
        <f>SUM(G8:G24)</f>
        <v>25</v>
      </c>
      <c r="H25" s="416">
        <f>SUM(H8:H24)</f>
        <v>355650</v>
      </c>
      <c r="I25" s="416"/>
      <c r="J25" s="417">
        <f>SUM(J8:J24)</f>
        <v>25</v>
      </c>
      <c r="K25" s="416">
        <f>SUM(K8:K24)</f>
        <v>3793592</v>
      </c>
      <c r="L25" s="416"/>
      <c r="M25" s="417">
        <f>SUM(M8:M24)</f>
        <v>25</v>
      </c>
      <c r="N25" s="416">
        <f>SUM(N8:N24)</f>
        <v>708050</v>
      </c>
      <c r="O25" s="416"/>
      <c r="P25" s="417">
        <f>SUM(P8:P24)</f>
        <v>25</v>
      </c>
      <c r="Q25" s="416">
        <f>SUM(Q8:Q24)</f>
        <v>11950</v>
      </c>
      <c r="R25" s="418">
        <f t="shared" ref="R25" si="41">SUM(H25,K25,N25,Q25)</f>
        <v>4869242</v>
      </c>
      <c r="V25" s="22" t="s">
        <v>89</v>
      </c>
      <c r="W25" s="412"/>
      <c r="X25" s="417"/>
      <c r="Y25" s="416"/>
      <c r="Z25" s="416">
        <f>SUM(Z8:Z24)</f>
        <v>270294</v>
      </c>
      <c r="AA25" s="416"/>
      <c r="AB25" s="416">
        <f>SUM(AB8:AB24)</f>
        <v>2880194</v>
      </c>
      <c r="AC25" s="416"/>
      <c r="AD25" s="416">
        <f>SUM(AD8:AD24)</f>
        <v>538118</v>
      </c>
      <c r="AE25" s="416"/>
      <c r="AF25" s="416">
        <f>SUM(AF8:AF24)</f>
        <v>9082</v>
      </c>
      <c r="AG25" s="418">
        <f>SUM(Z25,AB25,AD25,AF25)</f>
        <v>3697688</v>
      </c>
    </row>
    <row r="26" spans="1:33" ht="20.100000000000001" customHeight="1">
      <c r="A26" s="389" t="str">
        <f>"주 1) 단위(1인)당 피복비 : "&amp;'고정)피복비'!A1&amp;'고정)피복비'!A2&amp;" 참조"</f>
        <v>주 1) 단위(1인)당 피복비 : [ 표 : 20 ] 단위(1인)당 피복비산출표 참조</v>
      </c>
      <c r="V26" s="389" t="e">
        <f>"주 1) 단위(1인)당 피복비 : "&amp;'고정)피복비'!#REF!&amp;'고정)피복비'!#REF!&amp;" 참조"</f>
        <v>#REF!</v>
      </c>
    </row>
    <row r="27" spans="1:33" ht="20.100000000000001" customHeight="1">
      <c r="A27" s="389" t="str">
        <f>"   2) 작업인원 : "&amp;투입인원!A1&amp;투입인원!A2&amp;" 참조"</f>
        <v xml:space="preserve">   2) 작업인원 : [ 표 : 12 ] 적용직종 및 근무형태 참조</v>
      </c>
      <c r="V27" s="389" t="e">
        <f>"   2) 작업인원 : "&amp;투입인원!#REF!&amp;투입인원!#REF!&amp;" 참조"</f>
        <v>#REF!</v>
      </c>
    </row>
    <row r="28" spans="1:33" ht="20.100000000000001" customHeight="1">
      <c r="A28" s="389" t="str">
        <f>"   3) 단위(1인)당 식대 : "&amp;'고정)식대'!A1&amp;'고정)식대'!A2&amp;" 참조"</f>
        <v xml:space="preserve">   3) 단위(1인)당 식대 : [ 표 : 21 ] 단위(1인)당 식대산출표 참조</v>
      </c>
      <c r="V28" s="389" t="str">
        <f>"   3) 단위(1인)당 식대 : "&amp;'고정)식대'!N1&amp;'고정)식대'!N2&amp;" 참조"</f>
        <v xml:space="preserve">   3) 단위(1인)당 식대 :  참조</v>
      </c>
    </row>
    <row r="29" spans="1:33" ht="20.100000000000001" customHeight="1">
      <c r="A29" s="389" t="str">
        <f>"   4) 단위(1인)당 건강검진비 : "&amp;'고정)건강검진비'!A1&amp;'고정)건강검진비'!A2&amp;" 참조"</f>
        <v xml:space="preserve">   4) 단위(1인)당 건강검진비 : [ 표 : 22 ] 단위(1인)당 건강검진비산출표 참조</v>
      </c>
      <c r="V29" s="389" t="str">
        <f>"   4) 단위(1인)당 건강검진비 : "&amp;'고정)건강검진비'!Q1&amp;'고정)건강검진비'!Q2&amp;" 참조"</f>
        <v xml:space="preserve">   4) 단위(1인)당 건강검진비 :  참조</v>
      </c>
    </row>
    <row r="30" spans="1:33" ht="20.100000000000001" customHeight="1">
      <c r="A30" s="389" t="str">
        <f>"   5) 단위(1인)당 의약품비 : "&amp;'고정)의약품'!A1&amp;'고정)의약품'!A2&amp;" 참조"</f>
        <v xml:space="preserve">   5) 단위(1인)당 의약품비 : [ 표 : 23 ] 단위(1인)당 의약품비산출표 참조</v>
      </c>
      <c r="V30" s="389" t="str">
        <f>"   5) 단위(1인)당 의약품비 : "&amp;'고정)의약품'!J1&amp;'고정)의약품'!J2&amp;" 참조"</f>
        <v xml:space="preserve">   5) 단위(1인)당 의약품비 :  참조</v>
      </c>
    </row>
  </sheetData>
  <mergeCells count="9">
    <mergeCell ref="V5:V6"/>
    <mergeCell ref="W5:W6"/>
    <mergeCell ref="AG5:AG6"/>
    <mergeCell ref="A5:A6"/>
    <mergeCell ref="C5:C6"/>
    <mergeCell ref="R5:R6"/>
    <mergeCell ref="B5:B6"/>
    <mergeCell ref="D5:D6"/>
    <mergeCell ref="E5:E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49" firstPageNumber="141" orientation="landscape" r:id="rId1"/>
  <headerFooter alignWithMargins="0">
    <oddFooter>&amp;C&amp;"바탕체,보통"&amp;13- &amp;P -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Normal="80" zoomScaleSheetLayoutView="100" workbookViewId="0">
      <selection activeCell="G8" sqref="G8"/>
    </sheetView>
  </sheetViews>
  <sheetFormatPr defaultRowHeight="12"/>
  <cols>
    <col min="1" max="1" width="1.33203125" style="278" customWidth="1"/>
    <col min="2" max="2" width="9" style="278" customWidth="1"/>
    <col min="3" max="3" width="1.33203125" style="278" customWidth="1"/>
    <col min="4" max="4" width="10.21875" style="278" customWidth="1"/>
    <col min="5" max="5" width="5.5546875" style="39" customWidth="1"/>
    <col min="6" max="6" width="9.21875" style="279" customWidth="1"/>
    <col min="7" max="7" width="9.5546875" style="39" customWidth="1"/>
    <col min="8" max="8" width="11" style="39" customWidth="1"/>
    <col min="9" max="9" width="0.44140625" style="39" customWidth="1"/>
    <col min="10" max="10" width="16.55468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20 ] </v>
      </c>
      <c r="K1" s="34">
        <f>'고정)복리후생비집계'!S1+1</f>
        <v>20</v>
      </c>
    </row>
    <row r="2" spans="1:11" s="36" customFormat="1" ht="39.950000000000003" customHeight="1">
      <c r="A2" s="35" t="s">
        <v>54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435</v>
      </c>
      <c r="C5" s="287"/>
      <c r="D5" s="287" t="s">
        <v>436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43.5" customHeight="1">
      <c r="A7" s="298"/>
      <c r="B7" s="299" t="s">
        <v>429</v>
      </c>
      <c r="C7" s="300"/>
      <c r="D7" s="301" t="s">
        <v>430</v>
      </c>
      <c r="E7" s="17" t="s">
        <v>62</v>
      </c>
      <c r="F7" s="302">
        <v>8.3299999999999999E-2</v>
      </c>
      <c r="G7" s="17">
        <v>36500</v>
      </c>
      <c r="H7" s="303">
        <f>TRUNC(G7*F7)</f>
        <v>3040</v>
      </c>
      <c r="I7" s="298"/>
      <c r="J7" s="304" t="s">
        <v>755</v>
      </c>
    </row>
    <row r="8" spans="1:11" s="12" customFormat="1" ht="43.5" customHeight="1">
      <c r="A8" s="298"/>
      <c r="B8" s="299" t="s">
        <v>429</v>
      </c>
      <c r="C8" s="300"/>
      <c r="D8" s="301" t="s">
        <v>431</v>
      </c>
      <c r="E8" s="17" t="s">
        <v>62</v>
      </c>
      <c r="F8" s="302">
        <v>8.3299999999999999E-2</v>
      </c>
      <c r="G8" s="17">
        <v>42500</v>
      </c>
      <c r="H8" s="303">
        <f>TRUNC(G8*F8)</f>
        <v>3540</v>
      </c>
      <c r="I8" s="298"/>
      <c r="J8" s="304" t="s">
        <v>755</v>
      </c>
    </row>
    <row r="9" spans="1:11" s="12" customFormat="1" ht="43.5" customHeight="1">
      <c r="A9" s="298"/>
      <c r="B9" s="299" t="s">
        <v>429</v>
      </c>
      <c r="C9" s="300"/>
      <c r="D9" s="301" t="s">
        <v>432</v>
      </c>
      <c r="E9" s="17" t="s">
        <v>62</v>
      </c>
      <c r="F9" s="302">
        <v>8.3299999999999999E-2</v>
      </c>
      <c r="G9" s="17">
        <v>64300</v>
      </c>
      <c r="H9" s="303">
        <f>TRUNC(G9*F9)</f>
        <v>5356</v>
      </c>
      <c r="I9" s="298"/>
      <c r="J9" s="304" t="s">
        <v>755</v>
      </c>
    </row>
    <row r="10" spans="1:11" s="12" customFormat="1" ht="43.5" customHeight="1">
      <c r="A10" s="298"/>
      <c r="B10" s="299" t="s">
        <v>429</v>
      </c>
      <c r="C10" s="300"/>
      <c r="D10" s="301" t="s">
        <v>646</v>
      </c>
      <c r="E10" s="17" t="s">
        <v>62</v>
      </c>
      <c r="F10" s="302">
        <v>8.3299999999999999E-2</v>
      </c>
      <c r="G10" s="17">
        <v>27500</v>
      </c>
      <c r="H10" s="303">
        <f>TRUNC(G10*F10)</f>
        <v>2290</v>
      </c>
      <c r="I10" s="298"/>
      <c r="J10" s="304" t="s">
        <v>755</v>
      </c>
    </row>
    <row r="11" spans="1:11" s="12" customFormat="1" ht="43.5" customHeight="1">
      <c r="A11" s="298"/>
      <c r="B11" s="299"/>
      <c r="C11" s="300"/>
      <c r="D11" s="301"/>
      <c r="E11" s="17"/>
      <c r="F11" s="302"/>
      <c r="G11" s="17"/>
      <c r="H11" s="303"/>
      <c r="I11" s="298"/>
      <c r="J11" s="304"/>
    </row>
    <row r="12" spans="1:11" ht="50.1" customHeight="1">
      <c r="A12" s="47"/>
      <c r="B12" s="48" t="s">
        <v>434</v>
      </c>
      <c r="C12" s="305"/>
      <c r="D12" s="306"/>
      <c r="E12" s="307"/>
      <c r="F12" s="75"/>
      <c r="G12" s="307"/>
      <c r="H12" s="307">
        <f>SUM(H7:H11)</f>
        <v>14226</v>
      </c>
      <c r="I12" s="75"/>
      <c r="J12" s="308"/>
    </row>
    <row r="13" spans="1:11" s="255" customFormat="1" ht="19.5" customHeight="1">
      <c r="A13" s="43" t="s">
        <v>576</v>
      </c>
      <c r="E13" s="310"/>
      <c r="F13" s="310"/>
      <c r="G13" s="310"/>
      <c r="H13" s="311"/>
      <c r="I13" s="311"/>
      <c r="J13" s="311"/>
      <c r="K13" s="34"/>
    </row>
    <row r="14" spans="1:11" s="312" customFormat="1" ht="19.5" customHeight="1">
      <c r="A14" s="43" t="s">
        <v>637</v>
      </c>
      <c r="F14" s="313"/>
    </row>
    <row r="15" spans="1:11" ht="19.5" customHeight="1">
      <c r="A15" s="43" t="s">
        <v>1040</v>
      </c>
    </row>
    <row r="17" spans="1:1">
      <c r="A17" s="43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99" firstPageNumber="141" orientation="portrait" r:id="rId1"/>
  <headerFooter alignWithMargins="0">
    <oddFooter>&amp;C&amp;"바탕체,보통"&amp;10- &amp;P -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view="pageBreakPreview" zoomScaleNormal="80" zoomScaleSheetLayoutView="100" workbookViewId="0">
      <selection activeCell="G8" sqref="G8"/>
    </sheetView>
  </sheetViews>
  <sheetFormatPr defaultRowHeight="29.25" customHeight="1"/>
  <cols>
    <col min="1" max="1" width="1.44140625" style="34" customWidth="1"/>
    <col min="2" max="2" width="13.88671875" style="34" customWidth="1"/>
    <col min="3" max="3" width="1.44140625" style="34" customWidth="1"/>
    <col min="4" max="4" width="6.33203125" style="39" customWidth="1"/>
    <col min="5" max="5" width="8.6640625" style="39" customWidth="1"/>
    <col min="6" max="6" width="12.77734375" style="39" customWidth="1"/>
    <col min="7" max="7" width="12.77734375" style="317" customWidth="1"/>
    <col min="8" max="8" width="15.88671875" style="39" customWidth="1"/>
    <col min="9" max="9" width="9.33203125" style="40" customWidth="1"/>
    <col min="10" max="16384" width="8.88671875" style="40"/>
  </cols>
  <sheetData>
    <row r="1" spans="1:9" ht="23.25" customHeight="1">
      <c r="A1" s="1" t="str">
        <f>"[ 표 : "&amp;I1&amp;" ] "</f>
        <v xml:space="preserve">[ 표 : 21 ] </v>
      </c>
      <c r="I1" s="40">
        <f>'고정)피복비'!K1+1</f>
        <v>21</v>
      </c>
    </row>
    <row r="2" spans="1:9" s="42" customFormat="1" ht="43.5" customHeight="1">
      <c r="A2" s="35" t="s">
        <v>211</v>
      </c>
      <c r="B2" s="35"/>
      <c r="C2" s="35"/>
      <c r="D2" s="41"/>
      <c r="E2" s="41"/>
      <c r="F2" s="41"/>
      <c r="G2" s="376"/>
      <c r="H2" s="41"/>
    </row>
    <row r="3" spans="1:9" s="42" customFormat="1" ht="20.100000000000001" customHeight="1">
      <c r="A3" s="35"/>
      <c r="B3" s="35"/>
      <c r="C3" s="35"/>
      <c r="D3" s="41"/>
      <c r="E3" s="41"/>
      <c r="F3" s="41"/>
      <c r="G3" s="376"/>
      <c r="H3" s="41"/>
    </row>
    <row r="4" spans="1:9" ht="20.100000000000001" customHeight="1">
      <c r="A4" s="43"/>
      <c r="H4" s="44" t="s">
        <v>168</v>
      </c>
    </row>
    <row r="5" spans="1:9" ht="27" customHeight="1">
      <c r="A5" s="45"/>
      <c r="B5" s="1574" t="s">
        <v>50</v>
      </c>
      <c r="C5" s="46"/>
      <c r="D5" s="1578" t="s">
        <v>158</v>
      </c>
      <c r="E5" s="1580" t="s">
        <v>51</v>
      </c>
      <c r="F5" s="1580" t="s">
        <v>159</v>
      </c>
      <c r="G5" s="1576" t="s">
        <v>52</v>
      </c>
      <c r="H5" s="1578" t="s">
        <v>53</v>
      </c>
    </row>
    <row r="6" spans="1:9" ht="27" customHeight="1">
      <c r="A6" s="50"/>
      <c r="B6" s="1575"/>
      <c r="C6" s="70"/>
      <c r="D6" s="1579"/>
      <c r="E6" s="1581"/>
      <c r="F6" s="1581"/>
      <c r="G6" s="1577"/>
      <c r="H6" s="1579"/>
    </row>
    <row r="7" spans="1:9" ht="50.1" customHeight="1">
      <c r="A7" s="53"/>
      <c r="C7" s="71"/>
      <c r="D7" s="45"/>
      <c r="E7" s="45" t="s">
        <v>140</v>
      </c>
      <c r="F7" s="45" t="s">
        <v>137</v>
      </c>
      <c r="G7" s="377"/>
      <c r="H7" s="55"/>
    </row>
    <row r="8" spans="1:9" s="3" customFormat="1" ht="50.1" customHeight="1">
      <c r="A8" s="56"/>
      <c r="B8" s="57" t="s">
        <v>437</v>
      </c>
      <c r="C8" s="72"/>
      <c r="D8" s="73" t="s">
        <v>160</v>
      </c>
      <c r="E8" s="73">
        <f>일급분개!$H$32</f>
        <v>20.6</v>
      </c>
      <c r="F8" s="17">
        <f>G8/E8</f>
        <v>6796.116504854368</v>
      </c>
      <c r="G8" s="60">
        <v>140000</v>
      </c>
      <c r="H8" s="304" t="s">
        <v>756</v>
      </c>
    </row>
    <row r="9" spans="1:9" s="3" customFormat="1" ht="50.1" customHeight="1">
      <c r="A9" s="56"/>
      <c r="B9" s="57" t="s">
        <v>438</v>
      </c>
      <c r="C9" s="72"/>
      <c r="D9" s="73" t="s">
        <v>160</v>
      </c>
      <c r="E9" s="73">
        <v>1.8</v>
      </c>
      <c r="F9" s="17">
        <f>F8</f>
        <v>6796.116504854368</v>
      </c>
      <c r="G9" s="60">
        <f>TRUNC(E9*F9)</f>
        <v>12233</v>
      </c>
      <c r="H9" s="304" t="s">
        <v>757</v>
      </c>
    </row>
    <row r="10" spans="1:9" ht="50.1" customHeight="1">
      <c r="A10" s="50"/>
      <c r="B10" s="51"/>
      <c r="C10" s="70"/>
      <c r="D10" s="74"/>
      <c r="E10" s="74"/>
      <c r="F10" s="65"/>
      <c r="G10" s="380"/>
      <c r="H10" s="66"/>
    </row>
    <row r="11" spans="1:9" ht="45" customHeight="1">
      <c r="A11" s="50"/>
      <c r="B11" s="51" t="s">
        <v>132</v>
      </c>
      <c r="C11" s="70"/>
      <c r="D11" s="74"/>
      <c r="E11" s="74"/>
      <c r="F11" s="65"/>
      <c r="G11" s="381">
        <f>SUM(G8:G10)</f>
        <v>152233</v>
      </c>
      <c r="H11" s="66"/>
    </row>
    <row r="12" spans="1:9" ht="22.5" customHeight="1">
      <c r="A12" s="43" t="s">
        <v>576</v>
      </c>
    </row>
    <row r="13" spans="1:9" ht="22.5" customHeight="1">
      <c r="A13" s="43" t="s">
        <v>1042</v>
      </c>
    </row>
    <row r="14" spans="1:9" ht="22.5" customHeight="1">
      <c r="A14" s="43"/>
    </row>
  </sheetData>
  <mergeCells count="6">
    <mergeCell ref="B5:B6"/>
    <mergeCell ref="G5:G6"/>
    <mergeCell ref="H5:H6"/>
    <mergeCell ref="D5:D6"/>
    <mergeCell ref="F5:F6"/>
    <mergeCell ref="E5:E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view="pageBreakPreview" zoomScaleNormal="100" workbookViewId="0">
      <selection activeCell="M15" sqref="M15"/>
    </sheetView>
  </sheetViews>
  <sheetFormatPr defaultRowHeight="29.25" customHeight="1"/>
  <cols>
    <col min="1" max="1" width="1.44140625" style="34" customWidth="1"/>
    <col min="2" max="2" width="12.44140625" style="34" customWidth="1"/>
    <col min="3" max="3" width="1.44140625" style="34" customWidth="1"/>
    <col min="4" max="4" width="6.33203125" style="39" customWidth="1"/>
    <col min="5" max="5" width="10.6640625" style="39" customWidth="1"/>
    <col min="6" max="6" width="12.77734375" style="39" customWidth="1"/>
    <col min="7" max="7" width="12.77734375" style="317" customWidth="1"/>
    <col min="8" max="8" width="16.109375" style="39" customWidth="1"/>
    <col min="9" max="9" width="9.33203125" style="40" customWidth="1"/>
    <col min="10" max="16384" width="8.88671875" style="40"/>
  </cols>
  <sheetData>
    <row r="1" spans="1:9" ht="23.25" customHeight="1">
      <c r="A1" s="1" t="str">
        <f>"[ 표 : "&amp;I1&amp;" ] "</f>
        <v xml:space="preserve">[ 표 : 22 ] </v>
      </c>
      <c r="I1" s="40">
        <f>'고정)식대'!I1+1</f>
        <v>22</v>
      </c>
    </row>
    <row r="2" spans="1:9" s="42" customFormat="1" ht="43.5" customHeight="1">
      <c r="A2" s="35" t="s">
        <v>439</v>
      </c>
      <c r="B2" s="35"/>
      <c r="C2" s="35"/>
      <c r="D2" s="41"/>
      <c r="E2" s="41"/>
      <c r="F2" s="41"/>
      <c r="G2" s="376"/>
      <c r="H2" s="41"/>
    </row>
    <row r="3" spans="1:9" s="42" customFormat="1" ht="20.100000000000001" customHeight="1">
      <c r="A3" s="35"/>
      <c r="B3" s="35"/>
      <c r="C3" s="35"/>
      <c r="D3" s="41"/>
      <c r="E3" s="41"/>
      <c r="F3" s="41"/>
      <c r="G3" s="376"/>
      <c r="H3" s="41"/>
    </row>
    <row r="4" spans="1:9" ht="20.100000000000001" customHeight="1">
      <c r="A4" s="43"/>
      <c r="H4" s="44" t="s">
        <v>168</v>
      </c>
    </row>
    <row r="5" spans="1:9" ht="27" customHeight="1">
      <c r="A5" s="45"/>
      <c r="B5" s="1574" t="s">
        <v>50</v>
      </c>
      <c r="C5" s="46"/>
      <c r="D5" s="1578" t="s">
        <v>158</v>
      </c>
      <c r="E5" s="1580" t="s">
        <v>51</v>
      </c>
      <c r="F5" s="1580" t="s">
        <v>159</v>
      </c>
      <c r="G5" s="1576" t="s">
        <v>52</v>
      </c>
      <c r="H5" s="1578" t="s">
        <v>467</v>
      </c>
    </row>
    <row r="6" spans="1:9" ht="27" customHeight="1">
      <c r="A6" s="50"/>
      <c r="B6" s="1575"/>
      <c r="C6" s="70"/>
      <c r="D6" s="1579"/>
      <c r="E6" s="1581"/>
      <c r="F6" s="1581"/>
      <c r="G6" s="1577"/>
      <c r="H6" s="1579"/>
    </row>
    <row r="7" spans="1:9" ht="50.1" customHeight="1">
      <c r="A7" s="53"/>
      <c r="C7" s="71"/>
      <c r="D7" s="45"/>
      <c r="E7" s="45" t="s">
        <v>140</v>
      </c>
      <c r="F7" s="45" t="s">
        <v>137</v>
      </c>
      <c r="G7" s="377"/>
      <c r="H7" s="55"/>
    </row>
    <row r="8" spans="1:9" s="3" customFormat="1" ht="50.1" customHeight="1">
      <c r="A8" s="56"/>
      <c r="B8" s="57" t="s">
        <v>440</v>
      </c>
      <c r="C8" s="72"/>
      <c r="D8" s="73" t="s">
        <v>621</v>
      </c>
      <c r="E8" s="378">
        <v>8.3299999999999999E-2</v>
      </c>
      <c r="F8" s="60">
        <v>340000</v>
      </c>
      <c r="G8" s="60">
        <f>TRUNC(E8*F8)</f>
        <v>28322</v>
      </c>
      <c r="H8" s="304" t="s">
        <v>758</v>
      </c>
    </row>
    <row r="9" spans="1:9" s="3" customFormat="1" ht="50.1" customHeight="1">
      <c r="A9" s="56"/>
      <c r="B9" s="57"/>
      <c r="C9" s="72"/>
      <c r="D9" s="73"/>
      <c r="E9" s="73"/>
      <c r="F9" s="60"/>
      <c r="G9" s="60"/>
      <c r="H9" s="304"/>
    </row>
    <row r="10" spans="1:9" ht="50.1" customHeight="1">
      <c r="A10" s="50"/>
      <c r="B10" s="51"/>
      <c r="C10" s="70"/>
      <c r="D10" s="74"/>
      <c r="E10" s="74"/>
      <c r="F10" s="65"/>
      <c r="G10" s="380"/>
      <c r="H10" s="66"/>
    </row>
    <row r="11" spans="1:9" ht="45" customHeight="1">
      <c r="A11" s="50"/>
      <c r="B11" s="51" t="s">
        <v>89</v>
      </c>
      <c r="C11" s="70"/>
      <c r="D11" s="74"/>
      <c r="E11" s="74"/>
      <c r="F11" s="65"/>
      <c r="G11" s="381">
        <f>SUM(G8:G10)</f>
        <v>28322</v>
      </c>
      <c r="H11" s="66"/>
    </row>
    <row r="12" spans="1:9" ht="22.5" customHeight="1">
      <c r="A12" s="43" t="s">
        <v>433</v>
      </c>
    </row>
    <row r="13" spans="1:9" ht="22.5" customHeight="1">
      <c r="A13" s="43" t="s">
        <v>1041</v>
      </c>
    </row>
    <row r="14" spans="1:9" ht="22.5" customHeight="1">
      <c r="A14" s="43"/>
    </row>
  </sheetData>
  <mergeCells count="6">
    <mergeCell ref="H5:H6"/>
    <mergeCell ref="B5:B6"/>
    <mergeCell ref="D5:D6"/>
    <mergeCell ref="E5:E6"/>
    <mergeCell ref="F5:F6"/>
    <mergeCell ref="G5:G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view="pageBreakPreview" zoomScaleNormal="100" zoomScaleSheetLayoutView="100" workbookViewId="0">
      <selection activeCell="P11" sqref="P11"/>
    </sheetView>
  </sheetViews>
  <sheetFormatPr defaultRowHeight="29.25" customHeight="1"/>
  <cols>
    <col min="1" max="1" width="1.44140625" style="34" customWidth="1"/>
    <col min="2" max="2" width="13.88671875" style="34" customWidth="1"/>
    <col min="3" max="3" width="1.44140625" style="34" customWidth="1"/>
    <col min="4" max="4" width="6.33203125" style="39" customWidth="1"/>
    <col min="5" max="5" width="8.6640625" style="39" customWidth="1"/>
    <col min="6" max="6" width="9.5546875" style="39" customWidth="1"/>
    <col min="7" max="7" width="10.21875" style="317" customWidth="1"/>
    <col min="8" max="8" width="22" style="39" customWidth="1"/>
    <col min="9" max="9" width="2.33203125" style="40" hidden="1" customWidth="1"/>
    <col min="10" max="16384" width="8.88671875" style="40"/>
  </cols>
  <sheetData>
    <row r="1" spans="1:9" ht="23.25" customHeight="1">
      <c r="A1" s="1" t="str">
        <f>"[ 표 : "&amp;I1&amp;" ] "</f>
        <v xml:space="preserve">[ 표 : 23 ] </v>
      </c>
      <c r="I1" s="40">
        <f>'고정)건강검진비'!I1+1</f>
        <v>23</v>
      </c>
    </row>
    <row r="2" spans="1:9" s="42" customFormat="1" ht="43.5" customHeight="1">
      <c r="A2" s="35" t="s">
        <v>441</v>
      </c>
      <c r="B2" s="35"/>
      <c r="C2" s="35"/>
      <c r="D2" s="41"/>
      <c r="E2" s="41"/>
      <c r="F2" s="41"/>
      <c r="G2" s="376"/>
      <c r="H2" s="41"/>
    </row>
    <row r="3" spans="1:9" s="42" customFormat="1" ht="20.100000000000001" customHeight="1">
      <c r="A3" s="35"/>
      <c r="B3" s="35"/>
      <c r="C3" s="35"/>
      <c r="D3" s="41"/>
      <c r="E3" s="41"/>
      <c r="F3" s="41"/>
      <c r="G3" s="376"/>
      <c r="H3" s="41"/>
    </row>
    <row r="4" spans="1:9" ht="20.100000000000001" customHeight="1">
      <c r="A4" s="43"/>
      <c r="H4" s="44" t="s">
        <v>168</v>
      </c>
    </row>
    <row r="5" spans="1:9" ht="27" customHeight="1">
      <c r="A5" s="45"/>
      <c r="B5" s="1574" t="s">
        <v>50</v>
      </c>
      <c r="C5" s="46"/>
      <c r="D5" s="1578" t="s">
        <v>158</v>
      </c>
      <c r="E5" s="1580" t="s">
        <v>51</v>
      </c>
      <c r="F5" s="1580" t="s">
        <v>159</v>
      </c>
      <c r="G5" s="1576" t="s">
        <v>52</v>
      </c>
      <c r="H5" s="1578" t="s">
        <v>53</v>
      </c>
    </row>
    <row r="6" spans="1:9" ht="27" customHeight="1">
      <c r="A6" s="50"/>
      <c r="B6" s="1575"/>
      <c r="C6" s="70"/>
      <c r="D6" s="1579"/>
      <c r="E6" s="1581"/>
      <c r="F6" s="1581"/>
      <c r="G6" s="1577"/>
      <c r="H6" s="1579"/>
    </row>
    <row r="7" spans="1:9" ht="50.1" customHeight="1">
      <c r="A7" s="53"/>
      <c r="C7" s="71"/>
      <c r="D7" s="45"/>
      <c r="E7" s="45" t="s">
        <v>140</v>
      </c>
      <c r="F7" s="45" t="s">
        <v>137</v>
      </c>
      <c r="G7" s="377"/>
      <c r="H7" s="55"/>
      <c r="I7" s="337"/>
    </row>
    <row r="8" spans="1:9" s="3" customFormat="1" ht="50.1" customHeight="1">
      <c r="A8" s="56"/>
      <c r="B8" s="57" t="s">
        <v>423</v>
      </c>
      <c r="C8" s="72"/>
      <c r="D8" s="73" t="s">
        <v>622</v>
      </c>
      <c r="E8" s="378">
        <v>3.3E-3</v>
      </c>
      <c r="F8" s="60">
        <v>145000</v>
      </c>
      <c r="G8" s="60">
        <f>TRUNC(E8*F8)</f>
        <v>478</v>
      </c>
      <c r="H8" s="321" t="s">
        <v>1043</v>
      </c>
      <c r="I8" s="23"/>
    </row>
    <row r="9" spans="1:9" s="3" customFormat="1" ht="50.1" customHeight="1">
      <c r="A9" s="56"/>
      <c r="B9" s="57"/>
      <c r="C9" s="72"/>
      <c r="D9" s="73"/>
      <c r="E9" s="73"/>
      <c r="F9" s="60"/>
      <c r="G9" s="60"/>
      <c r="H9" s="304"/>
      <c r="I9" s="379"/>
    </row>
    <row r="10" spans="1:9" ht="50.1" customHeight="1">
      <c r="A10" s="50"/>
      <c r="B10" s="51"/>
      <c r="C10" s="70"/>
      <c r="D10" s="74"/>
      <c r="E10" s="74"/>
      <c r="F10" s="65"/>
      <c r="G10" s="380"/>
      <c r="H10" s="66"/>
    </row>
    <row r="11" spans="1:9" ht="45" customHeight="1">
      <c r="A11" s="50"/>
      <c r="B11" s="51" t="s">
        <v>89</v>
      </c>
      <c r="C11" s="70"/>
      <c r="D11" s="74"/>
      <c r="E11" s="74"/>
      <c r="F11" s="65"/>
      <c r="G11" s="381">
        <f>SUM(G8:G10)</f>
        <v>478</v>
      </c>
      <c r="H11" s="66"/>
    </row>
    <row r="12" spans="1:9" ht="22.5" customHeight="1">
      <c r="A12" s="43" t="s">
        <v>433</v>
      </c>
    </row>
    <row r="13" spans="1:9" ht="22.5" customHeight="1">
      <c r="A13" s="43" t="s">
        <v>620</v>
      </c>
    </row>
    <row r="14" spans="1:9" ht="22.5" customHeight="1">
      <c r="A14" s="43"/>
    </row>
  </sheetData>
  <mergeCells count="6">
    <mergeCell ref="H5:H6"/>
    <mergeCell ref="B5:B6"/>
    <mergeCell ref="D5:D6"/>
    <mergeCell ref="E5:E6"/>
    <mergeCell ref="F5:F6"/>
    <mergeCell ref="G5:G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view="pageBreakPreview" topLeftCell="A13" zoomScale="120" zoomScaleNormal="100" zoomScaleSheetLayoutView="120" workbookViewId="0">
      <selection activeCell="D24" sqref="D24"/>
    </sheetView>
  </sheetViews>
  <sheetFormatPr defaultRowHeight="12"/>
  <cols>
    <col min="1" max="1" width="1.33203125" style="278" customWidth="1"/>
    <col min="2" max="2" width="9" style="278" customWidth="1"/>
    <col min="3" max="3" width="1.33203125" style="278" customWidth="1"/>
    <col min="4" max="4" width="16.77734375" style="278" customWidth="1"/>
    <col min="5" max="5" width="5.5546875" style="39" customWidth="1"/>
    <col min="6" max="6" width="9.21875" style="279" customWidth="1"/>
    <col min="7" max="7" width="9.5546875" style="39" customWidth="1"/>
    <col min="8" max="8" width="11" style="39" customWidth="1"/>
    <col min="9" max="9" width="3.88671875" style="39" hidden="1" customWidth="1"/>
    <col min="10" max="10" width="16.55468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24 ] </v>
      </c>
      <c r="K1" s="34">
        <f>'고정)의약품'!I1+1</f>
        <v>24</v>
      </c>
    </row>
    <row r="2" spans="1:11" s="36" customFormat="1" ht="39.950000000000003" customHeight="1">
      <c r="A2" s="35" t="s">
        <v>442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435</v>
      </c>
      <c r="C5" s="287"/>
      <c r="D5" s="287" t="s">
        <v>436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31.5" customHeight="1">
      <c r="A7" s="298"/>
      <c r="B7" s="299" t="s">
        <v>1396</v>
      </c>
      <c r="C7" s="300"/>
      <c r="D7" s="301" t="s">
        <v>1397</v>
      </c>
      <c r="E7" s="17" t="s">
        <v>456</v>
      </c>
      <c r="F7" s="375"/>
      <c r="G7" s="17"/>
      <c r="H7" s="303">
        <f>H24/12</f>
        <v>1797591.4571999998</v>
      </c>
      <c r="I7" s="298">
        <v>25</v>
      </c>
      <c r="J7" s="304" t="s">
        <v>1398</v>
      </c>
    </row>
    <row r="8" spans="1:11" s="12" customFormat="1" ht="31.5" customHeight="1">
      <c r="A8" s="298"/>
      <c r="B8" s="299"/>
      <c r="C8" s="300"/>
      <c r="D8" s="301"/>
      <c r="E8" s="17"/>
      <c r="F8" s="375"/>
      <c r="G8" s="17"/>
      <c r="H8" s="303"/>
      <c r="I8" s="298"/>
      <c r="J8" s="304"/>
    </row>
    <row r="9" spans="1:11" s="12" customFormat="1" ht="31.5" customHeight="1">
      <c r="A9" s="298"/>
      <c r="B9" s="299"/>
      <c r="C9" s="300"/>
      <c r="D9" s="301"/>
      <c r="E9" s="17"/>
      <c r="F9" s="375"/>
      <c r="G9" s="17"/>
      <c r="H9" s="303"/>
      <c r="I9" s="298"/>
      <c r="J9" s="304"/>
    </row>
    <row r="10" spans="1:11" s="12" customFormat="1" ht="31.5" customHeight="1">
      <c r="A10" s="298"/>
      <c r="B10" s="299"/>
      <c r="C10" s="300"/>
      <c r="D10" s="301"/>
      <c r="E10" s="17"/>
      <c r="F10" s="375"/>
      <c r="G10" s="17"/>
      <c r="H10" s="303"/>
      <c r="I10" s="298"/>
      <c r="J10" s="304"/>
    </row>
    <row r="11" spans="1:11" s="12" customFormat="1" ht="31.5" customHeight="1">
      <c r="A11" s="298"/>
      <c r="B11" s="299"/>
      <c r="C11" s="300"/>
      <c r="D11" s="301"/>
      <c r="E11" s="17"/>
      <c r="F11" s="375"/>
      <c r="G11" s="17"/>
      <c r="H11" s="303"/>
      <c r="I11" s="298"/>
      <c r="J11" s="304"/>
    </row>
    <row r="12" spans="1:11" s="12" customFormat="1" ht="31.5" customHeight="1">
      <c r="A12" s="298"/>
      <c r="B12" s="299"/>
      <c r="C12" s="300"/>
      <c r="D12" s="301"/>
      <c r="E12" s="17"/>
      <c r="F12" s="375"/>
      <c r="G12" s="17"/>
      <c r="H12" s="303"/>
      <c r="I12" s="298"/>
      <c r="J12" s="304"/>
    </row>
    <row r="13" spans="1:11" s="12" customFormat="1" ht="31.5" customHeight="1">
      <c r="A13" s="298"/>
      <c r="B13" s="299"/>
      <c r="C13" s="300"/>
      <c r="D13" s="301"/>
      <c r="E13" s="17"/>
      <c r="F13" s="375"/>
      <c r="G13" s="17"/>
      <c r="H13" s="303"/>
      <c r="I13" s="298"/>
      <c r="J13" s="304"/>
    </row>
    <row r="14" spans="1:11" s="12" customFormat="1" ht="43.5" customHeight="1">
      <c r="A14" s="298"/>
      <c r="B14" s="299"/>
      <c r="C14" s="300"/>
      <c r="D14" s="301"/>
      <c r="E14" s="17"/>
      <c r="F14" s="302"/>
      <c r="G14" s="17"/>
      <c r="H14" s="303"/>
      <c r="I14" s="298"/>
      <c r="J14" s="304"/>
    </row>
    <row r="15" spans="1:11" ht="50.1" customHeight="1">
      <c r="A15" s="47"/>
      <c r="B15" s="48" t="s">
        <v>434</v>
      </c>
      <c r="C15" s="305"/>
      <c r="D15" s="306"/>
      <c r="E15" s="307"/>
      <c r="F15" s="75"/>
      <c r="G15" s="307"/>
      <c r="H15" s="307">
        <f>SUM(H7:H14)</f>
        <v>1797591.4571999998</v>
      </c>
      <c r="I15" s="75"/>
      <c r="J15" s="308"/>
    </row>
    <row r="16" spans="1:11" s="255" customFormat="1" ht="19.5" customHeight="1">
      <c r="A16" s="43" t="s">
        <v>1399</v>
      </c>
      <c r="E16" s="310"/>
      <c r="F16" s="310"/>
      <c r="G16" s="310"/>
      <c r="H16" s="311"/>
      <c r="I16" s="311"/>
      <c r="J16" s="311"/>
      <c r="K16" s="34"/>
    </row>
    <row r="17" spans="1:8" s="312" customFormat="1" ht="19.5" customHeight="1">
      <c r="A17" s="43"/>
      <c r="F17" s="313"/>
    </row>
    <row r="18" spans="1:8" s="312" customFormat="1" ht="19.5" customHeight="1">
      <c r="A18" s="43"/>
      <c r="F18" s="313"/>
    </row>
    <row r="19" spans="1:8" s="312" customFormat="1" ht="19.5" customHeight="1">
      <c r="A19" s="43"/>
      <c r="F19" s="313"/>
    </row>
    <row r="20" spans="1:8" ht="19.5" customHeight="1">
      <c r="A20" s="43"/>
    </row>
    <row r="22" spans="1:8">
      <c r="A22" s="43"/>
    </row>
    <row r="24" spans="1:8">
      <c r="B24" s="43" t="s">
        <v>1345</v>
      </c>
      <c r="D24" s="1195">
        <f>'용역원가(24년)'!H14</f>
        <v>1159736424</v>
      </c>
      <c r="G24" s="1196">
        <v>1.8599999999999998E-2</v>
      </c>
      <c r="H24" s="39">
        <f>D24*G24</f>
        <v>21571097.486399997</v>
      </c>
    </row>
    <row r="26" spans="1:8">
      <c r="B26" s="43" t="s">
        <v>1344</v>
      </c>
      <c r="D26" s="1197">
        <f>H24-SUM(H7:H13)*12-'고정)복리후생비집계'!N25*12</f>
        <v>-8496600</v>
      </c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9" firstPageNumber="141" orientation="portrait" r:id="rId1"/>
  <headerFooter alignWithMargins="0">
    <oddFooter>&amp;C&amp;"바탕체,보통"- &amp;P -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view="pageBreakPreview" zoomScaleNormal="100" zoomScaleSheetLayoutView="100" workbookViewId="0">
      <selection activeCell="H30" sqref="H30"/>
    </sheetView>
  </sheetViews>
  <sheetFormatPr defaultRowHeight="12"/>
  <cols>
    <col min="1" max="1" width="1.33203125" style="278" customWidth="1"/>
    <col min="2" max="2" width="8.77734375" style="278" customWidth="1"/>
    <col min="3" max="3" width="1.33203125" style="278" customWidth="1"/>
    <col min="4" max="4" width="20.44140625" style="278" customWidth="1"/>
    <col min="5" max="5" width="5.5546875" style="39" customWidth="1"/>
    <col min="6" max="6" width="9.21875" style="279" customWidth="1"/>
    <col min="7" max="7" width="9.5546875" style="39" customWidth="1"/>
    <col min="8" max="8" width="11" style="39" customWidth="1"/>
    <col min="9" max="9" width="0.44140625" style="39" customWidth="1"/>
    <col min="10" max="10" width="16.55468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25 ] </v>
      </c>
      <c r="K1" s="34">
        <f>'고정)안전관리비'!K1+1</f>
        <v>25</v>
      </c>
    </row>
    <row r="2" spans="1:11" s="36" customFormat="1" ht="39.950000000000003" customHeight="1">
      <c r="A2" s="35" t="s">
        <v>451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435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31.5" customHeight="1">
      <c r="A7" s="298"/>
      <c r="B7" s="299" t="s">
        <v>443</v>
      </c>
      <c r="C7" s="300"/>
      <c r="D7" s="301" t="s">
        <v>444</v>
      </c>
      <c r="E7" s="17" t="s">
        <v>452</v>
      </c>
      <c r="F7" s="302">
        <v>8.3299999999999999E-2</v>
      </c>
      <c r="G7" s="17">
        <v>409090</v>
      </c>
      <c r="H7" s="303">
        <f>TRUNC(G7*F7)</f>
        <v>34077</v>
      </c>
      <c r="I7" s="298"/>
      <c r="J7" s="304" t="s">
        <v>759</v>
      </c>
    </row>
    <row r="8" spans="1:11" s="12" customFormat="1" ht="31.5" customHeight="1">
      <c r="A8" s="298"/>
      <c r="B8" s="299"/>
      <c r="C8" s="300"/>
      <c r="D8" s="301"/>
      <c r="E8" s="17"/>
      <c r="F8" s="302"/>
      <c r="G8" s="17"/>
      <c r="H8" s="303"/>
      <c r="I8" s="298"/>
      <c r="J8" s="304"/>
    </row>
    <row r="9" spans="1:11" s="12" customFormat="1" ht="31.5" customHeight="1">
      <c r="A9" s="298"/>
      <c r="B9" s="299" t="s">
        <v>445</v>
      </c>
      <c r="C9" s="300"/>
      <c r="D9" s="301" t="s">
        <v>447</v>
      </c>
      <c r="E9" s="17" t="s">
        <v>452</v>
      </c>
      <c r="F9" s="302">
        <v>0.33329999999999999</v>
      </c>
      <c r="G9" s="17">
        <v>100000</v>
      </c>
      <c r="H9" s="303">
        <f>TRUNC(G9*F9)</f>
        <v>33330</v>
      </c>
      <c r="I9" s="298"/>
      <c r="J9" s="304" t="s">
        <v>760</v>
      </c>
    </row>
    <row r="10" spans="1:11" s="12" customFormat="1" ht="31.5" customHeight="1">
      <c r="A10" s="298"/>
      <c r="B10" s="299"/>
      <c r="C10" s="300"/>
      <c r="D10" s="301" t="s">
        <v>448</v>
      </c>
      <c r="E10" s="17" t="s">
        <v>452</v>
      </c>
      <c r="F10" s="302">
        <v>0.33329999999999999</v>
      </c>
      <c r="G10" s="17">
        <v>100000</v>
      </c>
      <c r="H10" s="303">
        <f>TRUNC(G10*F10)</f>
        <v>33330</v>
      </c>
      <c r="I10" s="298"/>
      <c r="J10" s="304" t="s">
        <v>760</v>
      </c>
    </row>
    <row r="11" spans="1:11" s="12" customFormat="1" ht="31.5" customHeight="1">
      <c r="A11" s="298"/>
      <c r="B11" s="299"/>
      <c r="C11" s="300"/>
      <c r="D11" s="301" t="s">
        <v>449</v>
      </c>
      <c r="E11" s="17" t="s">
        <v>452</v>
      </c>
      <c r="F11" s="302">
        <v>0.33329999999999999</v>
      </c>
      <c r="G11" s="17">
        <v>100000</v>
      </c>
      <c r="H11" s="303">
        <f>TRUNC(G11*F11)</f>
        <v>33330</v>
      </c>
      <c r="I11" s="298"/>
      <c r="J11" s="304" t="s">
        <v>760</v>
      </c>
    </row>
    <row r="12" spans="1:11" s="12" customFormat="1" ht="31.5" customHeight="1">
      <c r="A12" s="298"/>
      <c r="B12" s="299"/>
      <c r="C12" s="300"/>
      <c r="D12" s="301" t="s">
        <v>450</v>
      </c>
      <c r="E12" s="17" t="s">
        <v>452</v>
      </c>
      <c r="F12" s="302">
        <v>0.33329999999999999</v>
      </c>
      <c r="G12" s="17">
        <v>100000</v>
      </c>
      <c r="H12" s="303">
        <f>TRUNC(G12*F12)</f>
        <v>33330</v>
      </c>
      <c r="I12" s="298"/>
      <c r="J12" s="304" t="s">
        <v>760</v>
      </c>
    </row>
    <row r="13" spans="1:11" s="12" customFormat="1" ht="43.5" customHeight="1">
      <c r="A13" s="298"/>
      <c r="B13" s="299"/>
      <c r="C13" s="300"/>
      <c r="D13" s="301"/>
      <c r="E13" s="17"/>
      <c r="F13" s="302"/>
      <c r="G13" s="17"/>
      <c r="H13" s="303"/>
      <c r="I13" s="298"/>
      <c r="J13" s="304"/>
    </row>
    <row r="14" spans="1:11" ht="50.1" customHeight="1">
      <c r="A14" s="47"/>
      <c r="B14" s="48" t="s">
        <v>434</v>
      </c>
      <c r="C14" s="305"/>
      <c r="D14" s="306"/>
      <c r="E14" s="307"/>
      <c r="F14" s="75"/>
      <c r="G14" s="307"/>
      <c r="H14" s="307">
        <f>SUM(H7:H13)</f>
        <v>167397</v>
      </c>
      <c r="I14" s="75"/>
      <c r="J14" s="308"/>
    </row>
    <row r="15" spans="1:11" s="255" customFormat="1" ht="19.5" customHeight="1">
      <c r="A15" s="43" t="s">
        <v>638</v>
      </c>
      <c r="E15" s="310"/>
      <c r="F15" s="310"/>
      <c r="G15" s="310"/>
      <c r="H15" s="311"/>
      <c r="I15" s="311"/>
      <c r="J15" s="311"/>
      <c r="K15" s="34"/>
    </row>
    <row r="16" spans="1:11" s="312" customFormat="1" ht="19.5" customHeight="1">
      <c r="A16" s="43" t="s">
        <v>654</v>
      </c>
      <c r="F16" s="313"/>
    </row>
    <row r="17" spans="1:8" ht="19.5" customHeight="1">
      <c r="A17" s="43"/>
    </row>
    <row r="19" spans="1:8">
      <c r="A19" s="43"/>
    </row>
    <row r="21" spans="1:8">
      <c r="H21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7" firstPageNumber="141" orientation="portrait" r:id="rId1"/>
  <headerFooter alignWithMargins="0">
    <oddFooter>&amp;C&amp;"바탕체,보통"- &amp;P -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view="pageBreakPreview" zoomScaleNormal="100" zoomScaleSheetLayoutView="100" workbookViewId="0">
      <selection activeCell="G17" sqref="G17"/>
    </sheetView>
  </sheetViews>
  <sheetFormatPr defaultRowHeight="12"/>
  <cols>
    <col min="1" max="1" width="1.33203125" style="278" customWidth="1"/>
    <col min="2" max="2" width="10.109375" style="278" customWidth="1"/>
    <col min="3" max="3" width="1.33203125" style="278" customWidth="1"/>
    <col min="4" max="4" width="18.21875" style="278" customWidth="1"/>
    <col min="5" max="5" width="6.77734375" style="39" bestFit="1" customWidth="1"/>
    <col min="6" max="6" width="9.5546875" style="279" customWidth="1"/>
    <col min="7" max="7" width="9.5546875" style="39" customWidth="1"/>
    <col min="8" max="8" width="11.5546875" style="39" customWidth="1"/>
    <col min="9" max="9" width="0.44140625" style="39" customWidth="1"/>
    <col min="10" max="10" width="14" style="279" customWidth="1"/>
    <col min="11" max="12" width="5.109375" style="34" customWidth="1"/>
    <col min="13" max="16384" width="8.88671875" style="34"/>
  </cols>
  <sheetData>
    <row r="1" spans="1:11" ht="20.100000000000001" customHeight="1">
      <c r="A1" s="1" t="str">
        <f>"[ 표 : "&amp;K1&amp;" ] "</f>
        <v xml:space="preserve">[ 표 : 26 ] </v>
      </c>
      <c r="K1" s="34">
        <f>'고정)교육훈련비'!K1+1</f>
        <v>26</v>
      </c>
    </row>
    <row r="2" spans="1:11" s="36" customFormat="1" ht="39.950000000000003" customHeight="1">
      <c r="A2" s="35" t="s">
        <v>453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24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24" customHeight="1">
      <c r="A7" s="298"/>
      <c r="B7" s="299"/>
      <c r="C7" s="300"/>
      <c r="D7" s="301"/>
      <c r="E7" s="17"/>
      <c r="F7" s="373"/>
      <c r="G7" s="17"/>
      <c r="H7" s="303"/>
      <c r="I7" s="298"/>
      <c r="J7" s="304"/>
    </row>
    <row r="8" spans="1:11" s="12" customFormat="1" ht="24" customHeight="1">
      <c r="A8" s="298"/>
      <c r="B8" s="299" t="s">
        <v>454</v>
      </c>
      <c r="C8" s="300"/>
      <c r="D8" s="301" t="s">
        <v>740</v>
      </c>
      <c r="E8" s="17" t="s">
        <v>743</v>
      </c>
      <c r="F8" s="374">
        <v>1</v>
      </c>
      <c r="G8" s="17">
        <v>206788</v>
      </c>
      <c r="H8" s="303">
        <f>TRUNC(G8*F8)</f>
        <v>206788</v>
      </c>
      <c r="I8" s="298"/>
      <c r="J8" s="304"/>
    </row>
    <row r="9" spans="1:11" s="12" customFormat="1" ht="24" customHeight="1">
      <c r="A9" s="298"/>
      <c r="B9" s="299"/>
      <c r="C9" s="300"/>
      <c r="D9" s="301"/>
      <c r="E9" s="17"/>
      <c r="F9" s="374"/>
      <c r="G9" s="17"/>
      <c r="H9" s="303"/>
      <c r="I9" s="298"/>
      <c r="J9" s="304"/>
    </row>
    <row r="10" spans="1:11" s="12" customFormat="1" ht="24" customHeight="1">
      <c r="A10" s="298"/>
      <c r="B10" s="299" t="s">
        <v>1045</v>
      </c>
      <c r="C10" s="300"/>
      <c r="D10" s="301" t="s">
        <v>1047</v>
      </c>
      <c r="E10" s="17" t="s">
        <v>741</v>
      </c>
      <c r="F10" s="374">
        <v>1</v>
      </c>
      <c r="G10" s="17">
        <v>71599</v>
      </c>
      <c r="H10" s="303">
        <f t="shared" ref="H10:H16" si="0">TRUNC(G10*F10)</f>
        <v>71599</v>
      </c>
      <c r="I10" s="298"/>
      <c r="J10" s="304"/>
    </row>
    <row r="11" spans="1:11" s="12" customFormat="1" ht="24" customHeight="1">
      <c r="A11" s="298"/>
      <c r="B11" s="299"/>
      <c r="C11" s="300"/>
      <c r="D11" s="301"/>
      <c r="E11" s="17"/>
      <c r="F11" s="374"/>
      <c r="G11" s="17"/>
      <c r="H11" s="303"/>
      <c r="I11" s="298"/>
      <c r="J11" s="304"/>
    </row>
    <row r="12" spans="1:11" s="12" customFormat="1" ht="24" customHeight="1">
      <c r="A12" s="298"/>
      <c r="B12" s="299" t="s">
        <v>455</v>
      </c>
      <c r="C12" s="300"/>
      <c r="D12" s="301" t="s">
        <v>742</v>
      </c>
      <c r="E12" s="17" t="s">
        <v>741</v>
      </c>
      <c r="F12" s="375">
        <v>1</v>
      </c>
      <c r="G12" s="17">
        <v>334308</v>
      </c>
      <c r="H12" s="303">
        <f t="shared" si="0"/>
        <v>334308</v>
      </c>
      <c r="I12" s="298"/>
      <c r="J12" s="304"/>
    </row>
    <row r="13" spans="1:11" s="12" customFormat="1" ht="24" customHeight="1">
      <c r="A13" s="298"/>
      <c r="B13" s="299"/>
      <c r="C13" s="300"/>
      <c r="D13" s="301"/>
      <c r="E13" s="17"/>
      <c r="F13" s="375"/>
      <c r="G13" s="17"/>
      <c r="H13" s="303"/>
      <c r="I13" s="298"/>
      <c r="J13" s="304"/>
    </row>
    <row r="14" spans="1:11" s="12" customFormat="1" ht="24" customHeight="1">
      <c r="A14" s="298"/>
      <c r="B14" s="299" t="s">
        <v>1046</v>
      </c>
      <c r="C14" s="300"/>
      <c r="D14" s="301" t="s">
        <v>1048</v>
      </c>
      <c r="E14" s="17" t="s">
        <v>741</v>
      </c>
      <c r="F14" s="375">
        <v>1</v>
      </c>
      <c r="G14" s="17">
        <v>8506</v>
      </c>
      <c r="H14" s="303">
        <f t="shared" si="0"/>
        <v>8506</v>
      </c>
      <c r="I14" s="298"/>
      <c r="J14" s="304"/>
    </row>
    <row r="15" spans="1:11" s="12" customFormat="1" ht="24" customHeight="1">
      <c r="A15" s="298"/>
      <c r="B15" s="299"/>
      <c r="C15" s="300"/>
      <c r="D15" s="301"/>
      <c r="E15" s="17"/>
      <c r="F15" s="375"/>
      <c r="G15" s="17"/>
      <c r="H15" s="303"/>
      <c r="I15" s="298"/>
      <c r="J15" s="304"/>
    </row>
    <row r="16" spans="1:11" s="12" customFormat="1" ht="24" customHeight="1">
      <c r="A16" s="298"/>
      <c r="B16" s="299" t="s">
        <v>1044</v>
      </c>
      <c r="C16" s="300"/>
      <c r="D16" s="301" t="s">
        <v>1049</v>
      </c>
      <c r="E16" s="17" t="s">
        <v>741</v>
      </c>
      <c r="F16" s="375">
        <v>1</v>
      </c>
      <c r="G16" s="17">
        <v>6233</v>
      </c>
      <c r="H16" s="303">
        <f t="shared" si="0"/>
        <v>6233</v>
      </c>
      <c r="I16" s="298"/>
      <c r="J16" s="304"/>
    </row>
    <row r="17" spans="1:12" s="12" customFormat="1" ht="24" customHeight="1">
      <c r="A17" s="298"/>
      <c r="B17" s="299"/>
      <c r="C17" s="300"/>
      <c r="D17" s="301"/>
      <c r="E17" s="17"/>
      <c r="F17" s="375"/>
      <c r="G17" s="17"/>
      <c r="H17" s="303"/>
      <c r="I17" s="298"/>
      <c r="J17" s="304"/>
    </row>
    <row r="18" spans="1:12" s="12" customFormat="1" ht="19.5" customHeight="1">
      <c r="A18" s="298"/>
      <c r="B18" s="299"/>
      <c r="C18" s="300"/>
      <c r="D18" s="301"/>
      <c r="E18" s="17"/>
      <c r="F18" s="302"/>
      <c r="G18" s="17"/>
      <c r="H18" s="303"/>
      <c r="I18" s="298"/>
      <c r="J18" s="304"/>
    </row>
    <row r="19" spans="1:12" ht="40.5" customHeight="1">
      <c r="A19" s="47"/>
      <c r="B19" s="48" t="s">
        <v>89</v>
      </c>
      <c r="C19" s="305"/>
      <c r="D19" s="306"/>
      <c r="E19" s="307"/>
      <c r="F19" s="75"/>
      <c r="G19" s="307"/>
      <c r="H19" s="307">
        <f>SUM(H7:H18)</f>
        <v>627434</v>
      </c>
      <c r="I19" s="75"/>
      <c r="J19" s="308"/>
    </row>
    <row r="20" spans="1:12" s="255" customFormat="1" ht="19.5" customHeight="1">
      <c r="A20" s="43" t="s">
        <v>433</v>
      </c>
      <c r="E20" s="310"/>
      <c r="F20" s="310"/>
      <c r="G20" s="310"/>
      <c r="H20" s="311"/>
      <c r="I20" s="311"/>
      <c r="J20" s="311"/>
      <c r="K20" s="34"/>
      <c r="L20" s="34"/>
    </row>
    <row r="21" spans="1:12" s="312" customFormat="1" ht="19.5" customHeight="1">
      <c r="A21" s="43" t="s">
        <v>619</v>
      </c>
      <c r="F21" s="313"/>
    </row>
    <row r="22" spans="1:12" ht="19.5" customHeight="1">
      <c r="A22" s="43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9" firstPageNumber="141" orientation="portrait" r:id="rId1"/>
  <headerFooter alignWithMargins="0">
    <oddFooter>&amp;C&amp;"바탕체,보통"- &amp;P -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view="pageBreakPreview" zoomScaleNormal="100" zoomScaleSheetLayoutView="100" workbookViewId="0">
      <selection activeCell="L6" sqref="L6"/>
    </sheetView>
  </sheetViews>
  <sheetFormatPr defaultRowHeight="12"/>
  <cols>
    <col min="1" max="1" width="1.33203125" style="278" customWidth="1"/>
    <col min="2" max="2" width="8.77734375" style="278" customWidth="1"/>
    <col min="3" max="3" width="1.33203125" style="278" customWidth="1"/>
    <col min="4" max="4" width="25.33203125" style="278" customWidth="1"/>
    <col min="5" max="5" width="6.21875" style="39" bestFit="1" customWidth="1"/>
    <col min="6" max="6" width="7.6640625" style="279" customWidth="1"/>
    <col min="7" max="7" width="9.21875" style="39" customWidth="1"/>
    <col min="8" max="8" width="10.44140625" style="39" customWidth="1"/>
    <col min="9" max="9" width="0.44140625" style="39" customWidth="1"/>
    <col min="10" max="10" width="17.1093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27 ] </v>
      </c>
      <c r="K1" s="34">
        <f>'고정)소모품비'!K1+1</f>
        <v>27</v>
      </c>
    </row>
    <row r="2" spans="1:11" s="36" customFormat="1" ht="39.950000000000003" customHeight="1">
      <c r="A2" s="35" t="s">
        <v>462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31.5" customHeight="1">
      <c r="A7" s="298"/>
      <c r="B7" s="299" t="s">
        <v>463</v>
      </c>
      <c r="C7" s="300"/>
      <c r="D7" s="301" t="s">
        <v>579</v>
      </c>
      <c r="E7" s="17" t="s">
        <v>580</v>
      </c>
      <c r="F7" s="373">
        <v>4.3333000000000004</v>
      </c>
      <c r="G7" s="17">
        <v>10000</v>
      </c>
      <c r="H7" s="303">
        <f>TRUNC(G7*F7)</f>
        <v>43333</v>
      </c>
      <c r="I7" s="298"/>
      <c r="J7" s="304" t="s">
        <v>761</v>
      </c>
    </row>
    <row r="8" spans="1:11" s="12" customFormat="1" ht="31.5" customHeight="1">
      <c r="A8" s="298"/>
      <c r="B8" s="299" t="s">
        <v>464</v>
      </c>
      <c r="C8" s="300"/>
      <c r="D8" s="301" t="s">
        <v>581</v>
      </c>
      <c r="E8" s="17" t="s">
        <v>580</v>
      </c>
      <c r="F8" s="373">
        <v>1</v>
      </c>
      <c r="G8" s="17">
        <v>40000</v>
      </c>
      <c r="H8" s="303">
        <f>TRUNC(G8*F8)</f>
        <v>40000</v>
      </c>
      <c r="I8" s="298"/>
      <c r="J8" s="304" t="s">
        <v>1356</v>
      </c>
    </row>
    <row r="9" spans="1:11" s="12" customFormat="1" ht="31.5" customHeight="1">
      <c r="A9" s="298"/>
      <c r="B9" s="299" t="s">
        <v>465</v>
      </c>
      <c r="C9" s="300"/>
      <c r="D9" s="301" t="s">
        <v>582</v>
      </c>
      <c r="E9" s="17" t="s">
        <v>580</v>
      </c>
      <c r="F9" s="373">
        <v>0.1666</v>
      </c>
      <c r="G9" s="17">
        <f>운임!F16</f>
        <v>74000</v>
      </c>
      <c r="H9" s="303">
        <f>TRUNC(G9*F9)</f>
        <v>12328</v>
      </c>
      <c r="I9" s="298"/>
      <c r="J9" s="321" t="s">
        <v>896</v>
      </c>
    </row>
    <row r="10" spans="1:11" s="12" customFormat="1" ht="31.5" customHeight="1">
      <c r="A10" s="298"/>
      <c r="B10" s="299"/>
      <c r="C10" s="300"/>
      <c r="D10" s="301"/>
      <c r="E10" s="17"/>
      <c r="F10" s="302"/>
      <c r="G10" s="17"/>
      <c r="H10" s="303"/>
      <c r="I10" s="298"/>
      <c r="J10" s="304"/>
    </row>
    <row r="11" spans="1:11" ht="50.1" customHeight="1">
      <c r="A11" s="47"/>
      <c r="B11" s="48" t="s">
        <v>89</v>
      </c>
      <c r="C11" s="305"/>
      <c r="D11" s="306"/>
      <c r="E11" s="307"/>
      <c r="F11" s="75"/>
      <c r="G11" s="307"/>
      <c r="H11" s="307">
        <f>SUM(H7:H10)</f>
        <v>95661</v>
      </c>
      <c r="I11" s="75"/>
      <c r="J11" s="308"/>
    </row>
    <row r="12" spans="1:11" s="255" customFormat="1" ht="19.5" customHeight="1">
      <c r="A12" s="43" t="s">
        <v>583</v>
      </c>
      <c r="E12" s="310"/>
      <c r="F12" s="310"/>
      <c r="G12" s="310"/>
      <c r="H12" s="311"/>
      <c r="I12" s="311"/>
      <c r="J12" s="311"/>
      <c r="K12" s="34"/>
    </row>
    <row r="13" spans="1:11" s="312" customFormat="1" ht="19.5" customHeight="1">
      <c r="A13" s="43" t="s">
        <v>584</v>
      </c>
      <c r="F13" s="313"/>
    </row>
    <row r="14" spans="1:11" ht="19.5" customHeight="1">
      <c r="A14" s="43" t="s">
        <v>639</v>
      </c>
    </row>
    <row r="16" spans="1:11">
      <c r="A16" s="43"/>
    </row>
    <row r="18" spans="8:8">
      <c r="H18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4" firstPageNumber="141" orientation="portrait" r:id="rId1"/>
  <headerFooter alignWithMargins="0">
    <oddFooter>&amp;C&amp;"바탕체,보통"- &amp;P -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view="pageBreakPreview" zoomScaleNormal="100" zoomScaleSheetLayoutView="100" workbookViewId="0">
      <selection activeCell="A19" sqref="A19"/>
    </sheetView>
  </sheetViews>
  <sheetFormatPr defaultRowHeight="13.5"/>
  <cols>
    <col min="1" max="1" width="9.5546875" style="32" customWidth="1"/>
    <col min="2" max="2" width="12.21875" style="32" customWidth="1"/>
    <col min="3" max="3" width="8" style="32" customWidth="1"/>
    <col min="4" max="4" width="5.6640625" style="32" customWidth="1"/>
    <col min="5" max="5" width="11.44140625" style="32" customWidth="1"/>
    <col min="6" max="6" width="13.21875" style="32" customWidth="1"/>
    <col min="7" max="7" width="14.109375" style="32" bestFit="1" customWidth="1"/>
    <col min="8" max="8" width="8.88671875" style="32" hidden="1" customWidth="1"/>
    <col min="9" max="11" width="8.88671875" style="32"/>
    <col min="12" max="12" width="2.21875" style="32" customWidth="1"/>
    <col min="13" max="13" width="8.88671875" style="32"/>
    <col min="14" max="14" width="8.88671875" style="32" customWidth="1"/>
    <col min="15" max="15" width="2.6640625" style="32" customWidth="1"/>
    <col min="16" max="16" width="12.77734375" style="32" customWidth="1"/>
    <col min="17" max="16384" width="8.88671875" style="32"/>
  </cols>
  <sheetData>
    <row r="1" spans="1:20" ht="20.100000000000001" customHeight="1">
      <c r="A1" s="1" t="str">
        <f>"[ 표 : "&amp;H1&amp;" ] "</f>
        <v xml:space="preserve">[ 표 : 28 ] </v>
      </c>
      <c r="B1" s="346"/>
      <c r="C1" s="347"/>
      <c r="D1" s="347"/>
      <c r="E1" s="348"/>
      <c r="F1" s="348"/>
      <c r="G1" s="349"/>
      <c r="H1" s="32">
        <f>'고정)출장여비'!K1+1</f>
        <v>28</v>
      </c>
    </row>
    <row r="2" spans="1:20" ht="39.950000000000003" customHeight="1">
      <c r="A2" s="181" t="s">
        <v>585</v>
      </c>
      <c r="B2" s="181"/>
      <c r="C2" s="350"/>
      <c r="D2" s="350"/>
      <c r="E2" s="351"/>
      <c r="F2" s="351"/>
      <c r="G2" s="351"/>
    </row>
    <row r="3" spans="1:20" ht="20.100000000000001" customHeight="1">
      <c r="A3" s="181"/>
      <c r="B3" s="181"/>
      <c r="C3" s="350"/>
      <c r="D3" s="350"/>
      <c r="E3" s="351"/>
      <c r="F3" s="351"/>
      <c r="G3" s="351"/>
    </row>
    <row r="4" spans="1:20" ht="20.100000000000001" customHeight="1">
      <c r="A4" s="349"/>
      <c r="B4" s="349"/>
      <c r="C4" s="347"/>
      <c r="D4" s="347"/>
      <c r="E4" s="348"/>
      <c r="F4" s="348"/>
      <c r="G4" s="352" t="s">
        <v>586</v>
      </c>
    </row>
    <row r="5" spans="1:20" ht="50.1" customHeight="1">
      <c r="A5" s="353" t="s">
        <v>587</v>
      </c>
      <c r="B5" s="354" t="s">
        <v>588</v>
      </c>
      <c r="C5" s="355" t="s">
        <v>589</v>
      </c>
      <c r="D5" s="355" t="s">
        <v>590</v>
      </c>
      <c r="E5" s="356" t="s">
        <v>591</v>
      </c>
      <c r="F5" s="356" t="s">
        <v>592</v>
      </c>
      <c r="G5" s="355" t="s">
        <v>593</v>
      </c>
    </row>
    <row r="6" spans="1:20" ht="39.75" customHeight="1">
      <c r="A6" s="54" t="s">
        <v>140</v>
      </c>
      <c r="B6" s="54"/>
      <c r="C6" s="11"/>
      <c r="D6" s="11"/>
      <c r="E6" s="11" t="s">
        <v>137</v>
      </c>
      <c r="F6" s="11"/>
      <c r="G6" s="357"/>
    </row>
    <row r="7" spans="1:20" ht="39.75" customHeight="1">
      <c r="A7" s="56" t="s">
        <v>594</v>
      </c>
      <c r="B7" s="56" t="s">
        <v>595</v>
      </c>
      <c r="C7" s="59" t="s">
        <v>596</v>
      </c>
      <c r="D7" s="358">
        <v>1</v>
      </c>
      <c r="E7" s="359">
        <f>T7*2</f>
        <v>129400</v>
      </c>
      <c r="F7" s="359">
        <f t="shared" ref="F7:F13" si="0">D7*E7</f>
        <v>129400</v>
      </c>
      <c r="G7" s="304" t="s">
        <v>597</v>
      </c>
      <c r="I7" s="349"/>
      <c r="J7" s="349" t="s">
        <v>1050</v>
      </c>
      <c r="K7" s="910">
        <v>3600</v>
      </c>
      <c r="L7" s="910"/>
      <c r="M7" s="910" t="s">
        <v>1051</v>
      </c>
      <c r="N7" s="910">
        <v>59800</v>
      </c>
      <c r="O7" s="910"/>
      <c r="P7" s="910" t="s">
        <v>1052</v>
      </c>
      <c r="Q7" s="910">
        <v>1300</v>
      </c>
      <c r="R7" s="910"/>
      <c r="S7" s="910"/>
      <c r="T7" s="910">
        <f>K7+N7+Q7</f>
        <v>64700</v>
      </c>
    </row>
    <row r="8" spans="1:20" ht="39.75" customHeight="1">
      <c r="A8" s="56" t="s">
        <v>598</v>
      </c>
      <c r="B8" s="56" t="s">
        <v>599</v>
      </c>
      <c r="C8" s="59" t="s">
        <v>596</v>
      </c>
      <c r="D8" s="358">
        <v>1</v>
      </c>
      <c r="E8" s="359">
        <v>43090</v>
      </c>
      <c r="F8" s="359">
        <f t="shared" si="0"/>
        <v>43090</v>
      </c>
      <c r="G8" s="304" t="s">
        <v>600</v>
      </c>
      <c r="I8" s="361"/>
      <c r="J8" s="349"/>
      <c r="K8" s="910"/>
      <c r="L8" s="910"/>
      <c r="M8" s="910" t="s">
        <v>1054</v>
      </c>
      <c r="N8" s="910">
        <v>23700</v>
      </c>
      <c r="O8" s="910"/>
      <c r="P8" s="910" t="s">
        <v>1053</v>
      </c>
      <c r="Q8" s="910">
        <v>1250</v>
      </c>
      <c r="R8" s="910"/>
      <c r="S8" s="910"/>
      <c r="T8" s="910">
        <f t="shared" ref="T8:T13" si="1">K8+N8+Q8</f>
        <v>24950</v>
      </c>
    </row>
    <row r="9" spans="1:20" ht="39.75" customHeight="1">
      <c r="A9" s="56" t="s">
        <v>601</v>
      </c>
      <c r="B9" s="56" t="s">
        <v>602</v>
      </c>
      <c r="C9" s="59" t="s">
        <v>596</v>
      </c>
      <c r="D9" s="358">
        <v>1</v>
      </c>
      <c r="E9" s="359">
        <v>79090</v>
      </c>
      <c r="F9" s="359">
        <f t="shared" si="0"/>
        <v>79090</v>
      </c>
      <c r="G9" s="304" t="s">
        <v>603</v>
      </c>
      <c r="I9" s="361"/>
      <c r="J9" s="349"/>
      <c r="K9" s="910"/>
      <c r="L9" s="910"/>
      <c r="M9" s="910" t="s">
        <v>1056</v>
      </c>
      <c r="N9" s="910">
        <v>43500</v>
      </c>
      <c r="O9" s="910"/>
      <c r="P9" s="910" t="s">
        <v>1055</v>
      </c>
      <c r="Q9" s="910">
        <v>1250</v>
      </c>
      <c r="R9" s="910"/>
      <c r="S9" s="910"/>
      <c r="T9" s="910">
        <f t="shared" si="1"/>
        <v>44750</v>
      </c>
    </row>
    <row r="10" spans="1:20" ht="39.75" customHeight="1">
      <c r="A10" s="56" t="s">
        <v>604</v>
      </c>
      <c r="B10" s="56" t="s">
        <v>605</v>
      </c>
      <c r="C10" s="59" t="s">
        <v>596</v>
      </c>
      <c r="D10" s="358">
        <v>1</v>
      </c>
      <c r="E10" s="359">
        <v>85090</v>
      </c>
      <c r="F10" s="359">
        <f t="shared" si="0"/>
        <v>85090</v>
      </c>
      <c r="G10" s="304" t="s">
        <v>606</v>
      </c>
      <c r="I10" s="361"/>
      <c r="J10" s="362"/>
      <c r="K10" s="910"/>
      <c r="L10" s="910"/>
      <c r="M10" s="910" t="s">
        <v>1057</v>
      </c>
      <c r="N10" s="910">
        <v>18500</v>
      </c>
      <c r="O10" s="910"/>
      <c r="P10" s="910" t="s">
        <v>1058</v>
      </c>
      <c r="Q10" s="910">
        <v>25600</v>
      </c>
      <c r="R10" s="910" t="s">
        <v>1055</v>
      </c>
      <c r="S10" s="910">
        <v>1250</v>
      </c>
      <c r="T10" s="910">
        <f>K10+N10+Q10+S10</f>
        <v>45350</v>
      </c>
    </row>
    <row r="11" spans="1:20" ht="39.75" customHeight="1">
      <c r="A11" s="56" t="s">
        <v>607</v>
      </c>
      <c r="B11" s="56" t="s">
        <v>608</v>
      </c>
      <c r="C11" s="59" t="s">
        <v>596</v>
      </c>
      <c r="D11" s="358">
        <v>1</v>
      </c>
      <c r="E11" s="359">
        <v>97272</v>
      </c>
      <c r="F11" s="359">
        <f t="shared" si="0"/>
        <v>97272</v>
      </c>
      <c r="G11" s="304" t="s">
        <v>609</v>
      </c>
      <c r="K11" s="910"/>
      <c r="L11" s="910"/>
      <c r="M11" s="910" t="s">
        <v>1059</v>
      </c>
      <c r="N11" s="910">
        <v>53500</v>
      </c>
      <c r="O11" s="910"/>
      <c r="P11" s="910" t="s">
        <v>1060</v>
      </c>
      <c r="Q11" s="910">
        <v>3500</v>
      </c>
      <c r="R11" s="910"/>
      <c r="S11" s="910"/>
      <c r="T11" s="910">
        <f t="shared" si="1"/>
        <v>57000</v>
      </c>
    </row>
    <row r="12" spans="1:20" ht="39.75" customHeight="1">
      <c r="A12" s="363" t="s">
        <v>610</v>
      </c>
      <c r="B12" s="363" t="s">
        <v>611</v>
      </c>
      <c r="C12" s="59" t="s">
        <v>596</v>
      </c>
      <c r="D12" s="358">
        <v>1</v>
      </c>
      <c r="E12" s="359">
        <v>59090</v>
      </c>
      <c r="F12" s="359">
        <f t="shared" si="0"/>
        <v>59090</v>
      </c>
      <c r="G12" s="304" t="s">
        <v>612</v>
      </c>
      <c r="K12" s="910"/>
      <c r="L12" s="910"/>
      <c r="M12" s="910" t="s">
        <v>1061</v>
      </c>
      <c r="N12" s="910">
        <v>34600</v>
      </c>
      <c r="O12" s="910"/>
      <c r="P12" s="910" t="s">
        <v>1055</v>
      </c>
      <c r="Q12" s="910">
        <v>1250</v>
      </c>
      <c r="R12" s="910"/>
      <c r="S12" s="910"/>
      <c r="T12" s="910">
        <f t="shared" si="1"/>
        <v>35850</v>
      </c>
    </row>
    <row r="13" spans="1:20" ht="39.75" customHeight="1">
      <c r="A13" s="363" t="s">
        <v>613</v>
      </c>
      <c r="B13" s="363" t="s">
        <v>614</v>
      </c>
      <c r="C13" s="59" t="s">
        <v>596</v>
      </c>
      <c r="D13" s="358">
        <v>1</v>
      </c>
      <c r="E13" s="359">
        <v>29272</v>
      </c>
      <c r="F13" s="359">
        <f t="shared" si="0"/>
        <v>29272</v>
      </c>
      <c r="G13" s="304" t="s">
        <v>615</v>
      </c>
      <c r="J13" s="32" t="s">
        <v>1063</v>
      </c>
      <c r="K13" s="910"/>
      <c r="L13" s="910"/>
      <c r="M13" s="910" t="s">
        <v>1062</v>
      </c>
      <c r="N13" s="910">
        <v>13100</v>
      </c>
      <c r="O13" s="910"/>
      <c r="P13" s="910"/>
      <c r="Q13" s="910"/>
      <c r="R13" s="910"/>
      <c r="S13" s="910"/>
      <c r="T13" s="910">
        <f t="shared" si="1"/>
        <v>13100</v>
      </c>
    </row>
    <row r="14" spans="1:20" ht="24" customHeight="1">
      <c r="A14" s="364"/>
      <c r="B14" s="364"/>
      <c r="C14" s="15"/>
      <c r="D14" s="365"/>
      <c r="E14" s="366"/>
      <c r="F14" s="366"/>
      <c r="G14" s="367"/>
    </row>
    <row r="15" spans="1:20" ht="40.5" customHeight="1">
      <c r="A15" s="1360" t="s">
        <v>616</v>
      </c>
      <c r="B15" s="1362"/>
      <c r="C15" s="15"/>
      <c r="D15" s="365"/>
      <c r="E15" s="366"/>
      <c r="F15" s="366">
        <f>SUM(F7:F14)</f>
        <v>522304</v>
      </c>
      <c r="G15" s="367"/>
    </row>
    <row r="16" spans="1:20" ht="40.5" customHeight="1">
      <c r="A16" s="322" t="s">
        <v>617</v>
      </c>
      <c r="B16" s="322"/>
      <c r="C16" s="31"/>
      <c r="D16" s="370"/>
      <c r="E16" s="360"/>
      <c r="F16" s="360">
        <f>TRUNC(F15/H16,-3)</f>
        <v>74000</v>
      </c>
      <c r="G16" s="371" t="str">
        <f>"계 ÷ "&amp;H16</f>
        <v>계 ÷ 7</v>
      </c>
      <c r="H16" s="372">
        <v>7</v>
      </c>
    </row>
    <row r="17" spans="1:2" ht="24.75" customHeight="1">
      <c r="A17" s="3" t="s">
        <v>618</v>
      </c>
      <c r="B17" s="3"/>
    </row>
    <row r="18" spans="1:2" ht="24.75" customHeight="1">
      <c r="A18" s="3" t="s">
        <v>1064</v>
      </c>
      <c r="B18" s="3"/>
    </row>
    <row r="19" spans="1:2" ht="13.5" customHeight="1"/>
  </sheetData>
  <mergeCells count="1">
    <mergeCell ref="A15:B1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99" orientation="portrait" r:id="rId1"/>
  <headerFooter alignWithMargins="0">
    <oddFooter>&amp;C&amp;"바탕체,보통"&amp;10- &amp;P -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view="pageBreakPreview" zoomScaleNormal="100" zoomScaleSheetLayoutView="100" workbookViewId="0">
      <selection activeCell="N28" sqref="N28"/>
    </sheetView>
  </sheetViews>
  <sheetFormatPr defaultRowHeight="12"/>
  <cols>
    <col min="1" max="1" width="1.33203125" style="278" customWidth="1"/>
    <col min="2" max="2" width="8.77734375" style="278" customWidth="1"/>
    <col min="3" max="3" width="1.33203125" style="278" customWidth="1"/>
    <col min="4" max="4" width="12.21875" style="278" customWidth="1"/>
    <col min="5" max="5" width="6.77734375" style="39" bestFit="1" customWidth="1"/>
    <col min="6" max="6" width="9.5546875" style="279" customWidth="1"/>
    <col min="7" max="7" width="9.5546875" style="39" customWidth="1"/>
    <col min="8" max="8" width="11.5546875" style="39" customWidth="1"/>
    <col min="9" max="9" width="0.44140625" style="39" customWidth="1"/>
    <col min="10" max="10" width="11.886718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29 ] </v>
      </c>
      <c r="K1" s="34">
        <f>운임!H1+1</f>
        <v>29</v>
      </c>
    </row>
    <row r="2" spans="1:11" s="36" customFormat="1" ht="39.950000000000003" customHeight="1">
      <c r="A2" s="35" t="s">
        <v>459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 t="s">
        <v>60</v>
      </c>
      <c r="G6" s="294" t="s">
        <v>61</v>
      </c>
      <c r="H6" s="296"/>
      <c r="I6" s="297"/>
      <c r="J6" s="296"/>
    </row>
    <row r="7" spans="1:11" s="12" customFormat="1" ht="31.5" customHeight="1">
      <c r="A7" s="298"/>
      <c r="B7" s="344" t="s">
        <v>458</v>
      </c>
      <c r="C7" s="300"/>
      <c r="D7" s="301" t="s">
        <v>460</v>
      </c>
      <c r="E7" s="17" t="s">
        <v>457</v>
      </c>
      <c r="F7" s="345">
        <v>2</v>
      </c>
      <c r="G7" s="17">
        <v>60353</v>
      </c>
      <c r="H7" s="303">
        <f>TRUNC(G7*F7)</f>
        <v>120706</v>
      </c>
      <c r="I7" s="298"/>
      <c r="J7" s="304" t="s">
        <v>762</v>
      </c>
    </row>
    <row r="8" spans="1:11" s="12" customFormat="1" ht="31.5" customHeight="1">
      <c r="A8" s="298"/>
      <c r="B8" s="299"/>
      <c r="C8" s="300"/>
      <c r="D8" s="301" t="s">
        <v>461</v>
      </c>
      <c r="E8" s="17" t="s">
        <v>457</v>
      </c>
      <c r="F8" s="345">
        <v>1</v>
      </c>
      <c r="G8" s="17">
        <v>52360</v>
      </c>
      <c r="H8" s="303">
        <f>TRUNC(G8*F8)</f>
        <v>52360</v>
      </c>
      <c r="I8" s="298"/>
      <c r="J8" s="304" t="s">
        <v>763</v>
      </c>
    </row>
    <row r="9" spans="1:11" s="12" customFormat="1" ht="43.5" customHeight="1">
      <c r="A9" s="298"/>
      <c r="B9" s="299"/>
      <c r="C9" s="300"/>
      <c r="D9" s="301"/>
      <c r="E9" s="17"/>
      <c r="F9" s="302"/>
      <c r="G9" s="17"/>
      <c r="H9" s="303"/>
      <c r="I9" s="298"/>
      <c r="J9" s="304"/>
    </row>
    <row r="10" spans="1:11" ht="50.1" customHeight="1">
      <c r="A10" s="47"/>
      <c r="B10" s="48" t="s">
        <v>89</v>
      </c>
      <c r="C10" s="305"/>
      <c r="D10" s="306"/>
      <c r="E10" s="307"/>
      <c r="F10" s="75"/>
      <c r="G10" s="307"/>
      <c r="H10" s="307">
        <f>SUM(H7:H9)</f>
        <v>173066</v>
      </c>
      <c r="I10" s="75"/>
      <c r="J10" s="308"/>
    </row>
    <row r="11" spans="1:11" s="255" customFormat="1" ht="19.5" customHeight="1">
      <c r="A11" s="43" t="s">
        <v>640</v>
      </c>
      <c r="E11" s="310"/>
      <c r="F11" s="310"/>
      <c r="G11" s="310"/>
      <c r="H11" s="311"/>
      <c r="I11" s="311"/>
      <c r="J11" s="311"/>
      <c r="K11" s="34"/>
    </row>
    <row r="12" spans="1:11" s="312" customFormat="1" ht="19.5" customHeight="1">
      <c r="A12" s="43" t="s">
        <v>626</v>
      </c>
      <c r="F12" s="313"/>
    </row>
    <row r="13" spans="1:11" ht="19.5" customHeight="1">
      <c r="A13" s="43"/>
    </row>
    <row r="15" spans="1:11">
      <c r="A15" s="43"/>
    </row>
    <row r="17" spans="8:8">
      <c r="H17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Normal="100" zoomScaleSheetLayoutView="100" workbookViewId="0">
      <selection activeCell="G7" sqref="G7:H11"/>
    </sheetView>
  </sheetViews>
  <sheetFormatPr defaultRowHeight="12"/>
  <cols>
    <col min="1" max="1" width="1.33203125" style="278" customWidth="1"/>
    <col min="2" max="2" width="10.77734375" style="278" customWidth="1"/>
    <col min="3" max="3" width="1.33203125" style="278" customWidth="1"/>
    <col min="4" max="4" width="19.33203125" style="278" customWidth="1"/>
    <col min="5" max="5" width="6.109375" style="39" customWidth="1"/>
    <col min="6" max="6" width="9.21875" style="279" customWidth="1"/>
    <col min="7" max="7" width="12" style="39" customWidth="1"/>
    <col min="8" max="8" width="12.33203125" style="39" customWidth="1"/>
    <col min="9" max="9" width="0.44140625" style="39" customWidth="1"/>
    <col min="10" max="10" width="14.664062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30 ] </v>
      </c>
      <c r="K1" s="34">
        <f>'고정)통신비'!K1+1</f>
        <v>30</v>
      </c>
    </row>
    <row r="2" spans="1:11" s="36" customFormat="1" ht="39.950000000000003" customHeight="1">
      <c r="A2" s="35" t="s">
        <v>487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/>
      <c r="G6" s="55" t="s">
        <v>60</v>
      </c>
      <c r="H6" s="296"/>
      <c r="I6" s="297"/>
      <c r="J6" s="296"/>
    </row>
    <row r="7" spans="1:11" s="12" customFormat="1" ht="31.5" customHeight="1">
      <c r="A7" s="298"/>
      <c r="B7" s="318" t="s">
        <v>488</v>
      </c>
      <c r="C7" s="300"/>
      <c r="D7" s="301" t="s">
        <v>489</v>
      </c>
      <c r="E7" s="17" t="s">
        <v>456</v>
      </c>
      <c r="F7" s="336">
        <v>1</v>
      </c>
      <c r="G7" s="1128">
        <v>4000000</v>
      </c>
      <c r="H7" s="303">
        <f>TRUNC(G7*F7)</f>
        <v>4000000</v>
      </c>
      <c r="I7" s="298"/>
      <c r="J7" s="304" t="s">
        <v>764</v>
      </c>
    </row>
    <row r="8" spans="1:11" s="12" customFormat="1" ht="31.5" customHeight="1">
      <c r="A8" s="298"/>
      <c r="B8" s="299"/>
      <c r="C8" s="300"/>
      <c r="D8" s="301" t="s">
        <v>491</v>
      </c>
      <c r="E8" s="17" t="s">
        <v>456</v>
      </c>
      <c r="F8" s="336">
        <v>1</v>
      </c>
      <c r="G8" s="1128">
        <v>4000000</v>
      </c>
      <c r="H8" s="303">
        <f>TRUNC(G8*F8)</f>
        <v>4000000</v>
      </c>
      <c r="I8" s="298"/>
      <c r="J8" s="304" t="s">
        <v>764</v>
      </c>
    </row>
    <row r="9" spans="1:11" s="12" customFormat="1" ht="31.5" customHeight="1">
      <c r="A9" s="298"/>
      <c r="B9" s="299"/>
      <c r="C9" s="300"/>
      <c r="D9" s="301" t="s">
        <v>490</v>
      </c>
      <c r="E9" s="17" t="s">
        <v>456</v>
      </c>
      <c r="F9" s="336">
        <v>1</v>
      </c>
      <c r="G9" s="1128">
        <v>3000000</v>
      </c>
      <c r="H9" s="303">
        <f>TRUNC(G9*F9)</f>
        <v>3000000</v>
      </c>
      <c r="I9" s="298"/>
      <c r="J9" s="304" t="s">
        <v>764</v>
      </c>
    </row>
    <row r="10" spans="1:11" s="12" customFormat="1" ht="31.5" customHeight="1">
      <c r="A10" s="298"/>
      <c r="B10" s="299"/>
      <c r="C10" s="300"/>
      <c r="D10" s="301" t="s">
        <v>623</v>
      </c>
      <c r="E10" s="17" t="s">
        <v>456</v>
      </c>
      <c r="F10" s="336">
        <v>1</v>
      </c>
      <c r="G10" s="1128">
        <v>10000000</v>
      </c>
      <c r="H10" s="303">
        <f>TRUNC(G10*F10)</f>
        <v>10000000</v>
      </c>
      <c r="I10" s="298"/>
      <c r="J10" s="304" t="s">
        <v>764</v>
      </c>
    </row>
    <row r="11" spans="1:11" s="12" customFormat="1" ht="31.5" customHeight="1">
      <c r="A11" s="298"/>
      <c r="B11" s="299"/>
      <c r="C11" s="300"/>
      <c r="D11" s="301" t="s">
        <v>534</v>
      </c>
      <c r="E11" s="17" t="s">
        <v>456</v>
      </c>
      <c r="F11" s="336">
        <v>1</v>
      </c>
      <c r="G11" s="1128">
        <v>6000000</v>
      </c>
      <c r="H11" s="303">
        <f>TRUNC(G11*F11)</f>
        <v>6000000</v>
      </c>
      <c r="I11" s="298"/>
      <c r="J11" s="304" t="s">
        <v>764</v>
      </c>
    </row>
    <row r="12" spans="1:11" s="12" customFormat="1" ht="43.5" customHeight="1">
      <c r="A12" s="298"/>
      <c r="B12" s="299"/>
      <c r="C12" s="300"/>
      <c r="D12" s="301"/>
      <c r="E12" s="17"/>
      <c r="F12" s="302"/>
      <c r="G12" s="17"/>
      <c r="H12" s="303"/>
      <c r="I12" s="298"/>
      <c r="J12" s="304"/>
    </row>
    <row r="13" spans="1:11" ht="50.1" customHeight="1">
      <c r="A13" s="47"/>
      <c r="B13" s="48" t="s">
        <v>308</v>
      </c>
      <c r="C13" s="305"/>
      <c r="D13" s="306"/>
      <c r="E13" s="307"/>
      <c r="F13" s="75"/>
      <c r="G13" s="307"/>
      <c r="H13" s="307">
        <f>SUM(H7:H12)</f>
        <v>27000000</v>
      </c>
      <c r="I13" s="75"/>
      <c r="J13" s="308"/>
    </row>
    <row r="14" spans="1:11" ht="50.1" customHeight="1">
      <c r="A14" s="47"/>
      <c r="B14" s="48" t="s">
        <v>310</v>
      </c>
      <c r="C14" s="305"/>
      <c r="D14" s="306"/>
      <c r="E14" s="307"/>
      <c r="F14" s="75"/>
      <c r="G14" s="307"/>
      <c r="H14" s="307">
        <f>TRUNC(H13/12)</f>
        <v>2250000</v>
      </c>
      <c r="I14" s="75"/>
      <c r="J14" s="309" t="s">
        <v>309</v>
      </c>
    </row>
    <row r="15" spans="1:11" s="255" customFormat="1" ht="19.5" customHeight="1">
      <c r="A15" s="43" t="s">
        <v>627</v>
      </c>
      <c r="E15" s="310"/>
      <c r="F15" s="310"/>
      <c r="G15" s="310"/>
      <c r="H15" s="311"/>
      <c r="I15" s="311"/>
      <c r="J15" s="311"/>
    </row>
    <row r="16" spans="1:11" s="312" customFormat="1" ht="19.5" customHeight="1">
      <c r="A16" s="43"/>
      <c r="F16" s="313"/>
    </row>
    <row r="17" spans="1:1" ht="19.5" customHeight="1">
      <c r="A17" s="43"/>
    </row>
    <row r="19" spans="1:1">
      <c r="A19" s="43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4" firstPageNumber="141" orientation="portrait" r:id="rId1"/>
  <headerFooter alignWithMargins="0">
    <oddFooter>&amp;C&amp;"바탕체,보통"- &amp;P -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view="pageBreakPreview" topLeftCell="B18" zoomScaleNormal="100" zoomScaleSheetLayoutView="100" workbookViewId="0">
      <selection activeCell="L28" sqref="L28"/>
    </sheetView>
  </sheetViews>
  <sheetFormatPr defaultRowHeight="12"/>
  <cols>
    <col min="1" max="1" width="1.33203125" style="278" customWidth="1"/>
    <col min="2" max="2" width="12.6640625" style="278" customWidth="1"/>
    <col min="3" max="3" width="1.33203125" style="278" customWidth="1"/>
    <col min="4" max="4" width="20.109375" style="278" customWidth="1"/>
    <col min="5" max="5" width="6" style="39" customWidth="1"/>
    <col min="6" max="6" width="7.5546875" style="279" customWidth="1"/>
    <col min="7" max="7" width="12" style="39" customWidth="1"/>
    <col min="8" max="8" width="12.33203125" style="39" customWidth="1"/>
    <col min="9" max="9" width="0.44140625" style="39" customWidth="1"/>
    <col min="10" max="10" width="14.44140625" style="279" customWidth="1"/>
    <col min="11" max="11" width="5.109375" style="34" customWidth="1"/>
    <col min="12" max="18" width="8.88671875" style="34"/>
    <col min="19" max="20" width="10.6640625" style="34" customWidth="1"/>
    <col min="21" max="26" width="8.88671875" style="34"/>
    <col min="27" max="27" width="18.21875" style="34" customWidth="1"/>
    <col min="28" max="29" width="8.88671875" style="34"/>
    <col min="30" max="31" width="10" style="34" customWidth="1"/>
    <col min="32" max="16384" width="8.88671875" style="34"/>
  </cols>
  <sheetData>
    <row r="1" spans="1:33" ht="20.100000000000001" customHeight="1">
      <c r="A1" s="1" t="str">
        <f>"[ 표 : "&amp;K1&amp;" ] "</f>
        <v xml:space="preserve">[ 표 : 31 ] </v>
      </c>
      <c r="K1" s="34">
        <f>'변동)소모자재비'!K1+1</f>
        <v>31</v>
      </c>
      <c r="M1" s="1" t="str">
        <f>"[ 표 : "&amp;W1&amp;" ] "</f>
        <v xml:space="preserve">[ 표 :  ] </v>
      </c>
      <c r="N1" s="278"/>
      <c r="O1" s="278"/>
      <c r="P1" s="278"/>
      <c r="Q1" s="1137"/>
      <c r="R1" s="1138"/>
      <c r="S1" s="1137"/>
      <c r="T1" s="1137"/>
      <c r="U1" s="1137"/>
      <c r="V1" s="1138"/>
      <c r="X1" s="1"/>
      <c r="Y1" s="278"/>
      <c r="Z1" s="278"/>
      <c r="AA1" s="278"/>
      <c r="AB1" s="1137"/>
      <c r="AC1" s="1138"/>
      <c r="AD1" s="1137"/>
      <c r="AE1" s="1137"/>
      <c r="AF1" s="1137"/>
      <c r="AG1" s="1138"/>
    </row>
    <row r="2" spans="1:33" s="36" customFormat="1" ht="39.950000000000003" customHeight="1">
      <c r="A2" s="35" t="s">
        <v>578</v>
      </c>
      <c r="B2" s="35"/>
      <c r="C2" s="35"/>
      <c r="D2" s="35"/>
      <c r="E2" s="41"/>
      <c r="F2" s="280"/>
      <c r="G2" s="281"/>
      <c r="H2" s="41"/>
      <c r="I2" s="41"/>
      <c r="J2" s="282"/>
      <c r="M2" s="35" t="s">
        <v>1304</v>
      </c>
      <c r="N2" s="35"/>
      <c r="O2" s="35"/>
      <c r="P2" s="35"/>
      <c r="Q2" s="1139"/>
      <c r="R2" s="1140"/>
      <c r="S2" s="1141"/>
      <c r="T2" s="1139"/>
      <c r="U2" s="1139"/>
      <c r="V2" s="1142"/>
      <c r="X2" s="1"/>
      <c r="Y2" s="35" t="s">
        <v>1306</v>
      </c>
      <c r="Z2" s="35"/>
      <c r="AA2" s="35"/>
      <c r="AB2" s="1139"/>
      <c r="AC2" s="1140"/>
      <c r="AD2" s="1141"/>
      <c r="AE2" s="1139"/>
      <c r="AF2" s="1139"/>
      <c r="AG2" s="1142"/>
    </row>
    <row r="3" spans="1:33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  <c r="M3" s="35"/>
      <c r="N3" s="35"/>
      <c r="O3" s="35"/>
      <c r="P3" s="35"/>
      <c r="Q3" s="1139"/>
      <c r="R3" s="1140"/>
      <c r="S3" s="1141"/>
      <c r="T3" s="1139"/>
      <c r="U3" s="1139"/>
      <c r="V3" s="1142"/>
      <c r="X3" s="1"/>
      <c r="Y3" s="35"/>
      <c r="Z3" s="35"/>
      <c r="AA3" s="35"/>
      <c r="AB3" s="1139"/>
      <c r="AC3" s="1140"/>
      <c r="AD3" s="1141"/>
      <c r="AE3" s="1139"/>
      <c r="AF3" s="1139"/>
      <c r="AG3" s="1142"/>
    </row>
    <row r="4" spans="1:33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  <c r="M4" s="283"/>
      <c r="N4" s="284"/>
      <c r="O4" s="284"/>
      <c r="P4" s="284"/>
      <c r="Q4" s="284"/>
      <c r="R4" s="284"/>
      <c r="S4" s="284"/>
      <c r="T4" s="284"/>
      <c r="U4" s="1137"/>
      <c r="V4" s="1143" t="s">
        <v>168</v>
      </c>
      <c r="X4" s="1"/>
      <c r="Y4" s="284"/>
      <c r="Z4" s="284"/>
      <c r="AA4" s="284"/>
      <c r="AB4" s="284"/>
      <c r="AC4" s="284"/>
      <c r="AD4" s="284"/>
      <c r="AE4" s="284"/>
      <c r="AF4" s="1137"/>
      <c r="AG4" s="1143" t="s">
        <v>168</v>
      </c>
    </row>
    <row r="5" spans="1:33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  <c r="M5" s="285"/>
      <c r="N5" s="286" t="s">
        <v>243</v>
      </c>
      <c r="O5" s="287"/>
      <c r="P5" s="287" t="s">
        <v>446</v>
      </c>
      <c r="Q5" s="1144" t="s">
        <v>55</v>
      </c>
      <c r="R5" s="1145" t="s">
        <v>56</v>
      </c>
      <c r="S5" s="1144" t="s">
        <v>748</v>
      </c>
      <c r="T5" s="1144" t="s">
        <v>58</v>
      </c>
      <c r="U5" s="1582" t="s">
        <v>59</v>
      </c>
      <c r="V5" s="1583"/>
      <c r="X5" s="1"/>
      <c r="Y5" s="286" t="s">
        <v>243</v>
      </c>
      <c r="Z5" s="287"/>
      <c r="AA5" s="287" t="s">
        <v>446</v>
      </c>
      <c r="AB5" s="1144" t="s">
        <v>55</v>
      </c>
      <c r="AC5" s="1145" t="s">
        <v>56</v>
      </c>
      <c r="AD5" s="1144" t="s">
        <v>748</v>
      </c>
      <c r="AE5" s="1144" t="s">
        <v>58</v>
      </c>
      <c r="AF5" s="1582" t="s">
        <v>59</v>
      </c>
      <c r="AG5" s="1583"/>
    </row>
    <row r="6" spans="1:33" ht="40.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  <c r="M6" s="291"/>
      <c r="N6" s="292"/>
      <c r="O6" s="293"/>
      <c r="P6" s="293"/>
      <c r="Q6" s="1146"/>
      <c r="R6" s="1147"/>
      <c r="S6" s="1146" t="s">
        <v>140</v>
      </c>
      <c r="T6" s="1148"/>
      <c r="U6" s="1149"/>
      <c r="V6" s="1148"/>
      <c r="X6" s="1"/>
      <c r="Y6" s="292"/>
      <c r="Z6" s="293"/>
      <c r="AA6" s="293"/>
      <c r="AB6" s="1146"/>
      <c r="AC6" s="1147"/>
      <c r="AD6" s="1146" t="s">
        <v>140</v>
      </c>
      <c r="AE6" s="1148"/>
      <c r="AF6" s="1149"/>
      <c r="AG6" s="1148"/>
    </row>
    <row r="7" spans="1:33" s="12" customFormat="1" ht="37.5" customHeight="1">
      <c r="A7" s="298"/>
      <c r="B7" s="318" t="s">
        <v>492</v>
      </c>
      <c r="C7" s="300"/>
      <c r="D7" s="1132" t="s">
        <v>1065</v>
      </c>
      <c r="E7" s="1128" t="s">
        <v>456</v>
      </c>
      <c r="F7" s="1133">
        <v>1</v>
      </c>
      <c r="G7" s="1128">
        <v>10000000</v>
      </c>
      <c r="H7" s="1134">
        <f t="shared" ref="H7:H28" si="0">TRUNC(G7*F7)</f>
        <v>10000000</v>
      </c>
      <c r="I7" s="298"/>
      <c r="J7" s="304"/>
      <c r="M7" s="1150"/>
      <c r="N7" s="1151" t="s">
        <v>492</v>
      </c>
      <c r="O7" s="1152"/>
      <c r="P7" s="1132" t="s">
        <v>1065</v>
      </c>
      <c r="Q7" s="1128" t="s">
        <v>456</v>
      </c>
      <c r="R7" s="1133">
        <v>1</v>
      </c>
      <c r="S7" s="1128">
        <v>10000000</v>
      </c>
      <c r="T7" s="1134">
        <f t="shared" ref="T7:T28" si="1">TRUNC(S7*R7)</f>
        <v>10000000</v>
      </c>
      <c r="U7" s="1150"/>
      <c r="V7" s="1153"/>
      <c r="X7" s="1"/>
      <c r="Y7" s="1151" t="s">
        <v>492</v>
      </c>
      <c r="Z7" s="1152"/>
      <c r="AA7" s="1132" t="s">
        <v>1065</v>
      </c>
      <c r="AB7" s="1128" t="s">
        <v>456</v>
      </c>
      <c r="AC7" s="1133">
        <v>1</v>
      </c>
      <c r="AD7" s="1128">
        <v>10000000</v>
      </c>
      <c r="AE7" s="1134">
        <f t="shared" ref="AE7:AE28" si="2">TRUNC(AD7*AC7)</f>
        <v>10000000</v>
      </c>
      <c r="AF7" s="1150"/>
      <c r="AG7" s="1153"/>
    </row>
    <row r="8" spans="1:33" s="12" customFormat="1" ht="37.5" customHeight="1">
      <c r="A8" s="298"/>
      <c r="B8" s="299" t="s">
        <v>493</v>
      </c>
      <c r="C8" s="300"/>
      <c r="D8" s="1135" t="s">
        <v>1278</v>
      </c>
      <c r="E8" s="1128" t="s">
        <v>456</v>
      </c>
      <c r="F8" s="1133">
        <v>1</v>
      </c>
      <c r="G8" s="1128">
        <v>18240000</v>
      </c>
      <c r="H8" s="1134">
        <f t="shared" si="0"/>
        <v>18240000</v>
      </c>
      <c r="I8" s="298"/>
      <c r="J8" s="304"/>
      <c r="M8" s="1150"/>
      <c r="N8" s="1154" t="s">
        <v>493</v>
      </c>
      <c r="O8" s="1152"/>
      <c r="P8" s="1135" t="s">
        <v>1278</v>
      </c>
      <c r="Q8" s="1128" t="s">
        <v>456</v>
      </c>
      <c r="R8" s="1133">
        <v>1</v>
      </c>
      <c r="S8" s="1128">
        <v>18240000</v>
      </c>
      <c r="T8" s="1134">
        <f t="shared" si="1"/>
        <v>18240000</v>
      </c>
      <c r="U8" s="1150"/>
      <c r="V8" s="1153"/>
      <c r="X8" s="1"/>
      <c r="Y8" s="1154" t="s">
        <v>493</v>
      </c>
      <c r="Z8" s="1152"/>
      <c r="AA8" s="1135" t="s">
        <v>1278</v>
      </c>
      <c r="AB8" s="1128" t="s">
        <v>456</v>
      </c>
      <c r="AC8" s="1133">
        <v>1</v>
      </c>
      <c r="AD8" s="1128">
        <v>18240000</v>
      </c>
      <c r="AE8" s="1134">
        <f t="shared" si="2"/>
        <v>18240000</v>
      </c>
      <c r="AF8" s="1150"/>
      <c r="AG8" s="1153"/>
    </row>
    <row r="9" spans="1:33" s="12" customFormat="1" ht="37.5" customHeight="1">
      <c r="A9" s="298"/>
      <c r="B9" s="299"/>
      <c r="C9" s="300"/>
      <c r="D9" s="1132" t="s">
        <v>1279</v>
      </c>
      <c r="E9" s="1128" t="s">
        <v>456</v>
      </c>
      <c r="F9" s="1133">
        <v>1</v>
      </c>
      <c r="G9" s="1128">
        <v>20000000</v>
      </c>
      <c r="H9" s="1134">
        <f t="shared" si="0"/>
        <v>20000000</v>
      </c>
      <c r="I9" s="298"/>
      <c r="J9" s="304"/>
      <c r="M9" s="1150"/>
      <c r="N9" s="1154"/>
      <c r="O9" s="1152"/>
      <c r="P9" s="1132" t="s">
        <v>1279</v>
      </c>
      <c r="Q9" s="1128" t="s">
        <v>456</v>
      </c>
      <c r="R9" s="1133">
        <v>1</v>
      </c>
      <c r="S9" s="1128">
        <v>30000000</v>
      </c>
      <c r="T9" s="1134">
        <f t="shared" si="1"/>
        <v>30000000</v>
      </c>
      <c r="U9" s="1150"/>
      <c r="V9" s="1153"/>
      <c r="X9" s="1"/>
      <c r="Y9" s="1154"/>
      <c r="Z9" s="1152"/>
      <c r="AA9" s="1132" t="s">
        <v>1279</v>
      </c>
      <c r="AB9" s="1128" t="s">
        <v>456</v>
      </c>
      <c r="AC9" s="1133">
        <v>1</v>
      </c>
      <c r="AD9" s="1128">
        <v>30000000</v>
      </c>
      <c r="AE9" s="1134">
        <f t="shared" si="2"/>
        <v>30000000</v>
      </c>
      <c r="AF9" s="1150"/>
      <c r="AG9" s="1153"/>
    </row>
    <row r="10" spans="1:33" s="12" customFormat="1" ht="37.5" customHeight="1">
      <c r="A10" s="298"/>
      <c r="B10" s="299"/>
      <c r="C10" s="300"/>
      <c r="D10" s="1132" t="s">
        <v>1280</v>
      </c>
      <c r="E10" s="1128" t="s">
        <v>456</v>
      </c>
      <c r="F10" s="1133">
        <v>1</v>
      </c>
      <c r="G10" s="1128">
        <v>15000000</v>
      </c>
      <c r="H10" s="1134">
        <f t="shared" si="0"/>
        <v>15000000</v>
      </c>
      <c r="I10" s="298"/>
      <c r="J10" s="304"/>
      <c r="M10" s="1150"/>
      <c r="N10" s="1154"/>
      <c r="O10" s="1152"/>
      <c r="P10" s="1132" t="s">
        <v>1280</v>
      </c>
      <c r="Q10" s="1128" t="s">
        <v>456</v>
      </c>
      <c r="R10" s="1133">
        <v>1</v>
      </c>
      <c r="S10" s="1128">
        <v>15000000</v>
      </c>
      <c r="T10" s="1134">
        <f t="shared" si="1"/>
        <v>15000000</v>
      </c>
      <c r="U10" s="1150"/>
      <c r="V10" s="1153"/>
      <c r="X10" s="1"/>
      <c r="Y10" s="1154"/>
      <c r="Z10" s="1152"/>
      <c r="AA10" s="1132" t="s">
        <v>1280</v>
      </c>
      <c r="AB10" s="1128" t="s">
        <v>456</v>
      </c>
      <c r="AC10" s="1133">
        <v>1</v>
      </c>
      <c r="AD10" s="1128">
        <v>15000000</v>
      </c>
      <c r="AE10" s="1134">
        <f t="shared" si="2"/>
        <v>15000000</v>
      </c>
      <c r="AF10" s="1150"/>
      <c r="AG10" s="1153"/>
    </row>
    <row r="11" spans="1:33" s="12" customFormat="1" ht="37.5" customHeight="1">
      <c r="A11" s="298"/>
      <c r="B11" s="299"/>
      <c r="C11" s="300"/>
      <c r="D11" s="1132" t="s">
        <v>1281</v>
      </c>
      <c r="E11" s="1128" t="s">
        <v>456</v>
      </c>
      <c r="F11" s="1133">
        <v>1</v>
      </c>
      <c r="G11" s="1128">
        <v>50000000</v>
      </c>
      <c r="H11" s="1134">
        <f t="shared" si="0"/>
        <v>50000000</v>
      </c>
      <c r="I11" s="298"/>
      <c r="J11" s="304"/>
      <c r="M11" s="1150"/>
      <c r="N11" s="1154"/>
      <c r="O11" s="1152"/>
      <c r="P11" s="1132" t="s">
        <v>1281</v>
      </c>
      <c r="Q11" s="1128" t="s">
        <v>456</v>
      </c>
      <c r="R11" s="1133">
        <v>1</v>
      </c>
      <c r="S11" s="1128">
        <v>50000000</v>
      </c>
      <c r="T11" s="1134">
        <f t="shared" si="1"/>
        <v>50000000</v>
      </c>
      <c r="U11" s="1150"/>
      <c r="V11" s="1153"/>
      <c r="X11" s="1"/>
      <c r="Y11" s="1154"/>
      <c r="Z11" s="1152"/>
      <c r="AA11" s="1132" t="s">
        <v>1281</v>
      </c>
      <c r="AB11" s="1128" t="s">
        <v>456</v>
      </c>
      <c r="AC11" s="1133">
        <v>1</v>
      </c>
      <c r="AD11" s="1128">
        <v>50000000</v>
      </c>
      <c r="AE11" s="1134">
        <f t="shared" si="2"/>
        <v>50000000</v>
      </c>
      <c r="AF11" s="1150"/>
      <c r="AG11" s="1153"/>
    </row>
    <row r="12" spans="1:33" s="12" customFormat="1" ht="37.5" customHeight="1">
      <c r="A12" s="298"/>
      <c r="B12" s="299"/>
      <c r="C12" s="300"/>
      <c r="D12" s="1132" t="s">
        <v>1282</v>
      </c>
      <c r="E12" s="1128" t="s">
        <v>456</v>
      </c>
      <c r="F12" s="1133">
        <v>1</v>
      </c>
      <c r="G12" s="1128">
        <v>96600000</v>
      </c>
      <c r="H12" s="1134">
        <f t="shared" si="0"/>
        <v>96600000</v>
      </c>
      <c r="I12" s="298"/>
      <c r="J12" s="304"/>
      <c r="M12" s="1150"/>
      <c r="N12" s="1154"/>
      <c r="O12" s="1152"/>
      <c r="P12" s="1132" t="s">
        <v>1282</v>
      </c>
      <c r="Q12" s="1128" t="s">
        <v>456</v>
      </c>
      <c r="R12" s="1133">
        <v>1</v>
      </c>
      <c r="S12" s="1128">
        <v>96600000</v>
      </c>
      <c r="T12" s="1134">
        <f t="shared" si="1"/>
        <v>96600000</v>
      </c>
      <c r="U12" s="1150"/>
      <c r="V12" s="1153"/>
      <c r="X12" s="1"/>
      <c r="Y12" s="1154"/>
      <c r="Z12" s="1152"/>
      <c r="AA12" s="1132" t="s">
        <v>1282</v>
      </c>
      <c r="AB12" s="1128" t="s">
        <v>456</v>
      </c>
      <c r="AC12" s="1133">
        <v>1</v>
      </c>
      <c r="AD12" s="1128">
        <v>96600000</v>
      </c>
      <c r="AE12" s="1134">
        <f t="shared" si="2"/>
        <v>96600000</v>
      </c>
      <c r="AF12" s="1150"/>
      <c r="AG12" s="1153"/>
    </row>
    <row r="13" spans="1:33" s="12" customFormat="1" ht="37.5" customHeight="1">
      <c r="A13" s="298"/>
      <c r="B13" s="299"/>
      <c r="C13" s="300"/>
      <c r="D13" s="1135" t="s">
        <v>1283</v>
      </c>
      <c r="E13" s="1128" t="s">
        <v>456</v>
      </c>
      <c r="F13" s="1133">
        <v>1</v>
      </c>
      <c r="G13" s="1128">
        <v>30000000</v>
      </c>
      <c r="H13" s="1134">
        <f t="shared" si="0"/>
        <v>30000000</v>
      </c>
      <c r="I13" s="298"/>
      <c r="J13" s="304"/>
      <c r="M13" s="1150"/>
      <c r="N13" s="1154"/>
      <c r="O13" s="1152"/>
      <c r="P13" s="1135" t="s">
        <v>1283</v>
      </c>
      <c r="Q13" s="1128" t="s">
        <v>456</v>
      </c>
      <c r="R13" s="1133">
        <v>1</v>
      </c>
      <c r="S13" s="1128">
        <v>30000000</v>
      </c>
      <c r="T13" s="1134">
        <f t="shared" si="1"/>
        <v>30000000</v>
      </c>
      <c r="U13" s="1150"/>
      <c r="V13" s="1153"/>
      <c r="X13" s="1"/>
      <c r="Y13" s="1154"/>
      <c r="Z13" s="1152"/>
      <c r="AA13" s="1135" t="s">
        <v>1283</v>
      </c>
      <c r="AB13" s="1128" t="s">
        <v>456</v>
      </c>
      <c r="AC13" s="1133">
        <v>1</v>
      </c>
      <c r="AD13" s="1128">
        <v>30000000</v>
      </c>
      <c r="AE13" s="1134">
        <f t="shared" si="2"/>
        <v>30000000</v>
      </c>
      <c r="AF13" s="1150"/>
      <c r="AG13" s="1153"/>
    </row>
    <row r="14" spans="1:33" s="12" customFormat="1" ht="37.5" customHeight="1">
      <c r="A14" s="298"/>
      <c r="B14" s="299"/>
      <c r="C14" s="300"/>
      <c r="D14" s="1135" t="s">
        <v>1284</v>
      </c>
      <c r="E14" s="1128" t="s">
        <v>456</v>
      </c>
      <c r="F14" s="1133">
        <v>1</v>
      </c>
      <c r="G14" s="1128">
        <v>10000000</v>
      </c>
      <c r="H14" s="1134">
        <f t="shared" si="0"/>
        <v>10000000</v>
      </c>
      <c r="I14" s="298"/>
      <c r="J14" s="304"/>
      <c r="M14" s="1150"/>
      <c r="N14" s="1154"/>
      <c r="O14" s="1152"/>
      <c r="P14" s="1135" t="s">
        <v>1284</v>
      </c>
      <c r="Q14" s="1128" t="s">
        <v>456</v>
      </c>
      <c r="R14" s="1133">
        <v>1</v>
      </c>
      <c r="S14" s="1128">
        <v>10000000</v>
      </c>
      <c r="T14" s="1134">
        <f t="shared" si="1"/>
        <v>10000000</v>
      </c>
      <c r="U14" s="1150"/>
      <c r="V14" s="1153"/>
      <c r="X14" s="1"/>
      <c r="Y14" s="1154"/>
      <c r="Z14" s="1152"/>
      <c r="AA14" s="1135" t="s">
        <v>1284</v>
      </c>
      <c r="AB14" s="1128" t="s">
        <v>456</v>
      </c>
      <c r="AC14" s="1133">
        <v>1</v>
      </c>
      <c r="AD14" s="1128">
        <v>10000000</v>
      </c>
      <c r="AE14" s="1134">
        <f t="shared" si="2"/>
        <v>10000000</v>
      </c>
      <c r="AF14" s="1150"/>
      <c r="AG14" s="1153"/>
    </row>
    <row r="15" spans="1:33" s="12" customFormat="1" ht="37.5" customHeight="1">
      <c r="A15" s="298"/>
      <c r="B15" s="299"/>
      <c r="C15" s="300"/>
      <c r="D15" s="1135" t="s">
        <v>1285</v>
      </c>
      <c r="E15" s="1128" t="s">
        <v>456</v>
      </c>
      <c r="F15" s="1133">
        <v>1</v>
      </c>
      <c r="G15" s="1128">
        <v>10000000</v>
      </c>
      <c r="H15" s="1134">
        <f t="shared" si="0"/>
        <v>10000000</v>
      </c>
      <c r="I15" s="298"/>
      <c r="J15" s="304"/>
      <c r="M15" s="1150"/>
      <c r="N15" s="1154"/>
      <c r="O15" s="1152"/>
      <c r="P15" s="1135" t="s">
        <v>1285</v>
      </c>
      <c r="Q15" s="1128" t="s">
        <v>456</v>
      </c>
      <c r="R15" s="1133">
        <v>1</v>
      </c>
      <c r="S15" s="1128">
        <v>10000000</v>
      </c>
      <c r="T15" s="1134">
        <f t="shared" si="1"/>
        <v>10000000</v>
      </c>
      <c r="U15" s="1150"/>
      <c r="V15" s="1153"/>
      <c r="X15" s="1"/>
      <c r="Y15" s="1154"/>
      <c r="Z15" s="1152"/>
      <c r="AA15" s="1135" t="s">
        <v>1285</v>
      </c>
      <c r="AB15" s="1128" t="s">
        <v>456</v>
      </c>
      <c r="AC15" s="1133">
        <v>1</v>
      </c>
      <c r="AD15" s="1128">
        <v>10000000</v>
      </c>
      <c r="AE15" s="1134">
        <f t="shared" si="2"/>
        <v>10000000</v>
      </c>
      <c r="AF15" s="1150"/>
      <c r="AG15" s="1153"/>
    </row>
    <row r="16" spans="1:33" s="12" customFormat="1" ht="37.5" customHeight="1">
      <c r="A16" s="298"/>
      <c r="B16" s="299"/>
      <c r="C16" s="300"/>
      <c r="D16" s="1135" t="s">
        <v>1286</v>
      </c>
      <c r="E16" s="1128" t="s">
        <v>456</v>
      </c>
      <c r="F16" s="1133">
        <v>1</v>
      </c>
      <c r="G16" s="1128">
        <v>5000000</v>
      </c>
      <c r="H16" s="1134">
        <f t="shared" si="0"/>
        <v>5000000</v>
      </c>
      <c r="I16" s="298"/>
      <c r="J16" s="304"/>
      <c r="M16" s="1150"/>
      <c r="N16" s="1154"/>
      <c r="O16" s="1152"/>
      <c r="P16" s="1135" t="s">
        <v>1286</v>
      </c>
      <c r="Q16" s="1128" t="s">
        <v>456</v>
      </c>
      <c r="R16" s="1133">
        <v>1</v>
      </c>
      <c r="S16" s="1128">
        <v>5000000</v>
      </c>
      <c r="T16" s="1134">
        <f t="shared" si="1"/>
        <v>5000000</v>
      </c>
      <c r="U16" s="1150"/>
      <c r="V16" s="1153"/>
      <c r="X16" s="1"/>
      <c r="Y16" s="1154"/>
      <c r="Z16" s="1152"/>
      <c r="AA16" s="1135" t="s">
        <v>1286</v>
      </c>
      <c r="AB16" s="1128" t="s">
        <v>456</v>
      </c>
      <c r="AC16" s="1133">
        <v>1</v>
      </c>
      <c r="AD16" s="1128">
        <v>5000000</v>
      </c>
      <c r="AE16" s="1134">
        <f t="shared" si="2"/>
        <v>5000000</v>
      </c>
      <c r="AF16" s="1150"/>
      <c r="AG16" s="1153"/>
    </row>
    <row r="17" spans="1:33" s="12" customFormat="1" ht="37.5" customHeight="1">
      <c r="A17" s="298"/>
      <c r="B17" s="299"/>
      <c r="C17" s="300"/>
      <c r="D17" s="1135" t="s">
        <v>1287</v>
      </c>
      <c r="E17" s="1128" t="s">
        <v>456</v>
      </c>
      <c r="F17" s="1133">
        <v>1</v>
      </c>
      <c r="G17" s="1128">
        <v>3000000</v>
      </c>
      <c r="H17" s="1134">
        <f t="shared" si="0"/>
        <v>3000000</v>
      </c>
      <c r="I17" s="298"/>
      <c r="J17" s="304"/>
      <c r="M17" s="1150"/>
      <c r="N17" s="1154"/>
      <c r="O17" s="1152"/>
      <c r="P17" s="1135" t="s">
        <v>1287</v>
      </c>
      <c r="Q17" s="1128" t="s">
        <v>456</v>
      </c>
      <c r="R17" s="1133">
        <v>1</v>
      </c>
      <c r="S17" s="1128">
        <v>3000000</v>
      </c>
      <c r="T17" s="1134">
        <f t="shared" si="1"/>
        <v>3000000</v>
      </c>
      <c r="U17" s="1150"/>
      <c r="V17" s="1153"/>
      <c r="X17" s="1"/>
      <c r="Y17" s="1154"/>
      <c r="Z17" s="1152"/>
      <c r="AA17" s="1135" t="s">
        <v>1287</v>
      </c>
      <c r="AB17" s="1128" t="s">
        <v>456</v>
      </c>
      <c r="AC17" s="1133">
        <v>1</v>
      </c>
      <c r="AD17" s="1128">
        <v>3000000</v>
      </c>
      <c r="AE17" s="1134">
        <f t="shared" si="2"/>
        <v>3000000</v>
      </c>
      <c r="AF17" s="1150"/>
      <c r="AG17" s="1153"/>
    </row>
    <row r="18" spans="1:33" s="12" customFormat="1" ht="37.5" customHeight="1">
      <c r="A18" s="298"/>
      <c r="B18" s="299"/>
      <c r="C18" s="300"/>
      <c r="D18" s="1135" t="s">
        <v>1288</v>
      </c>
      <c r="E18" s="1128" t="s">
        <v>456</v>
      </c>
      <c r="F18" s="1133">
        <v>1</v>
      </c>
      <c r="G18" s="1128">
        <v>40000000</v>
      </c>
      <c r="H18" s="1134">
        <f t="shared" si="0"/>
        <v>40000000</v>
      </c>
      <c r="I18" s="298"/>
      <c r="J18" s="304"/>
      <c r="M18" s="1150"/>
      <c r="N18" s="1154"/>
      <c r="O18" s="1152"/>
      <c r="P18" s="1135" t="s">
        <v>1288</v>
      </c>
      <c r="Q18" s="1128" t="s">
        <v>456</v>
      </c>
      <c r="R18" s="1133">
        <v>1</v>
      </c>
      <c r="S18" s="1128">
        <v>40000000</v>
      </c>
      <c r="T18" s="1134">
        <f t="shared" si="1"/>
        <v>40000000</v>
      </c>
      <c r="U18" s="1150"/>
      <c r="V18" s="1153"/>
      <c r="X18" s="1"/>
      <c r="Y18" s="1154"/>
      <c r="Z18" s="1152"/>
      <c r="AA18" s="1135" t="s">
        <v>1288</v>
      </c>
      <c r="AB18" s="1128" t="s">
        <v>456</v>
      </c>
      <c r="AC18" s="1133">
        <v>1</v>
      </c>
      <c r="AD18" s="1128">
        <v>40000000</v>
      </c>
      <c r="AE18" s="1134">
        <f t="shared" si="2"/>
        <v>40000000</v>
      </c>
      <c r="AF18" s="1150"/>
      <c r="AG18" s="1153"/>
    </row>
    <row r="19" spans="1:33" s="12" customFormat="1" ht="37.5" customHeight="1">
      <c r="A19" s="298"/>
      <c r="B19" s="299"/>
      <c r="C19" s="300"/>
      <c r="D19" s="1135" t="s">
        <v>1289</v>
      </c>
      <c r="E19" s="1128" t="s">
        <v>456</v>
      </c>
      <c r="F19" s="1133">
        <v>1</v>
      </c>
      <c r="G19" s="1128">
        <v>30000000</v>
      </c>
      <c r="H19" s="1134">
        <f t="shared" si="0"/>
        <v>30000000</v>
      </c>
      <c r="I19" s="298"/>
      <c r="J19" s="304"/>
      <c r="M19" s="1150"/>
      <c r="N19" s="1154"/>
      <c r="O19" s="1152"/>
      <c r="P19" s="1135" t="s">
        <v>1289</v>
      </c>
      <c r="Q19" s="1128" t="s">
        <v>456</v>
      </c>
      <c r="R19" s="1133">
        <v>1</v>
      </c>
      <c r="S19" s="1128">
        <v>30000000</v>
      </c>
      <c r="T19" s="1134">
        <f t="shared" si="1"/>
        <v>30000000</v>
      </c>
      <c r="U19" s="1150"/>
      <c r="V19" s="1153"/>
      <c r="X19" s="1"/>
      <c r="Y19" s="1154"/>
      <c r="Z19" s="1152"/>
      <c r="AA19" s="1135" t="s">
        <v>1289</v>
      </c>
      <c r="AB19" s="1128" t="s">
        <v>456</v>
      </c>
      <c r="AC19" s="1133">
        <v>1</v>
      </c>
      <c r="AD19" s="1128">
        <v>30000000</v>
      </c>
      <c r="AE19" s="1134">
        <f t="shared" si="2"/>
        <v>30000000</v>
      </c>
      <c r="AF19" s="1150"/>
      <c r="AG19" s="1153"/>
    </row>
    <row r="20" spans="1:33" s="12" customFormat="1" ht="37.5" customHeight="1">
      <c r="A20" s="298"/>
      <c r="B20" s="299"/>
      <c r="C20" s="300"/>
      <c r="D20" s="1132" t="s">
        <v>1290</v>
      </c>
      <c r="E20" s="1128" t="s">
        <v>456</v>
      </c>
      <c r="F20" s="1133">
        <v>1</v>
      </c>
      <c r="G20" s="1128">
        <v>20000000</v>
      </c>
      <c r="H20" s="1134">
        <f t="shared" si="0"/>
        <v>20000000</v>
      </c>
      <c r="I20" s="298"/>
      <c r="J20" s="304"/>
      <c r="M20" s="1150"/>
      <c r="N20" s="1154"/>
      <c r="O20" s="1152"/>
      <c r="P20" s="1132" t="s">
        <v>1290</v>
      </c>
      <c r="Q20" s="1128" t="s">
        <v>456</v>
      </c>
      <c r="R20" s="1133">
        <v>1</v>
      </c>
      <c r="S20" s="1128">
        <v>20000000</v>
      </c>
      <c r="T20" s="1134">
        <f t="shared" si="1"/>
        <v>20000000</v>
      </c>
      <c r="U20" s="1150"/>
      <c r="V20" s="1153"/>
      <c r="X20" s="1"/>
      <c r="Y20" s="1154"/>
      <c r="Z20" s="1152"/>
      <c r="AA20" s="1132" t="s">
        <v>1290</v>
      </c>
      <c r="AB20" s="1128" t="s">
        <v>456</v>
      </c>
      <c r="AC20" s="1133">
        <v>1</v>
      </c>
      <c r="AD20" s="1128">
        <v>20000000</v>
      </c>
      <c r="AE20" s="1134">
        <f t="shared" si="2"/>
        <v>20000000</v>
      </c>
      <c r="AF20" s="1150"/>
      <c r="AG20" s="1153"/>
    </row>
    <row r="21" spans="1:33" s="12" customFormat="1" ht="37.5" customHeight="1">
      <c r="A21" s="298"/>
      <c r="B21" s="299"/>
      <c r="C21" s="300"/>
      <c r="D21" s="1136" t="s">
        <v>1299</v>
      </c>
      <c r="E21" s="1128" t="s">
        <v>456</v>
      </c>
      <c r="F21" s="1133">
        <v>1</v>
      </c>
      <c r="G21" s="1128">
        <v>8000000</v>
      </c>
      <c r="H21" s="1134">
        <f t="shared" si="0"/>
        <v>8000000</v>
      </c>
      <c r="I21" s="298"/>
      <c r="J21" s="304"/>
      <c r="M21" s="1150"/>
      <c r="N21" s="1154"/>
      <c r="O21" s="1152"/>
      <c r="P21" s="1136" t="s">
        <v>1291</v>
      </c>
      <c r="Q21" s="1128" t="s">
        <v>456</v>
      </c>
      <c r="R21" s="1133">
        <v>1</v>
      </c>
      <c r="S21" s="1128">
        <v>8000000</v>
      </c>
      <c r="T21" s="1134">
        <f t="shared" si="1"/>
        <v>8000000</v>
      </c>
      <c r="U21" s="1150"/>
      <c r="V21" s="1153"/>
      <c r="X21" s="1"/>
      <c r="Y21" s="1154"/>
      <c r="Z21" s="1152"/>
      <c r="AA21" s="1136" t="s">
        <v>1291</v>
      </c>
      <c r="AB21" s="1128" t="s">
        <v>456</v>
      </c>
      <c r="AC21" s="1133">
        <v>1</v>
      </c>
      <c r="AD21" s="1128">
        <v>8000000</v>
      </c>
      <c r="AE21" s="1134">
        <f t="shared" si="2"/>
        <v>8000000</v>
      </c>
      <c r="AF21" s="1150"/>
      <c r="AG21" s="1153"/>
    </row>
    <row r="22" spans="1:33" s="12" customFormat="1" ht="37.5" customHeight="1">
      <c r="A22" s="298"/>
      <c r="B22" s="299"/>
      <c r="C22" s="300"/>
      <c r="D22" s="1132" t="s">
        <v>1292</v>
      </c>
      <c r="E22" s="1128" t="s">
        <v>456</v>
      </c>
      <c r="F22" s="1133">
        <v>1</v>
      </c>
      <c r="G22" s="1128">
        <v>20000000</v>
      </c>
      <c r="H22" s="1134">
        <f t="shared" si="0"/>
        <v>20000000</v>
      </c>
      <c r="I22" s="298"/>
      <c r="J22" s="304"/>
      <c r="M22" s="1150"/>
      <c r="N22" s="1154"/>
      <c r="O22" s="1152"/>
      <c r="P22" s="1132" t="s">
        <v>1300</v>
      </c>
      <c r="Q22" s="1128" t="s">
        <v>456</v>
      </c>
      <c r="R22" s="1133">
        <v>1</v>
      </c>
      <c r="S22" s="1128">
        <v>9000000</v>
      </c>
      <c r="T22" s="1134">
        <f t="shared" si="1"/>
        <v>9000000</v>
      </c>
      <c r="U22" s="1150"/>
      <c r="V22" s="1153"/>
      <c r="X22" s="1"/>
      <c r="Y22" s="1154"/>
      <c r="Z22" s="1152"/>
      <c r="AA22" s="1132" t="s">
        <v>1294</v>
      </c>
      <c r="AB22" s="1128" t="s">
        <v>456</v>
      </c>
      <c r="AC22" s="1133">
        <v>1</v>
      </c>
      <c r="AD22" s="1128">
        <v>50000000</v>
      </c>
      <c r="AE22" s="1134">
        <f t="shared" si="2"/>
        <v>50000000</v>
      </c>
      <c r="AF22" s="1150"/>
      <c r="AG22" s="1153"/>
    </row>
    <row r="23" spans="1:33" s="12" customFormat="1" ht="37.5" customHeight="1">
      <c r="A23" s="298"/>
      <c r="B23" s="299"/>
      <c r="C23" s="300"/>
      <c r="D23" s="1132" t="s">
        <v>1298</v>
      </c>
      <c r="E23" s="1128" t="s">
        <v>456</v>
      </c>
      <c r="F23" s="1133">
        <v>1</v>
      </c>
      <c r="G23" s="1128">
        <v>20000000</v>
      </c>
      <c r="H23" s="1134">
        <f t="shared" si="0"/>
        <v>20000000</v>
      </c>
      <c r="I23" s="298"/>
      <c r="J23" s="304"/>
      <c r="M23" s="1150"/>
      <c r="N23" s="1154"/>
      <c r="O23" s="1152"/>
      <c r="P23" s="1132" t="s">
        <v>1294</v>
      </c>
      <c r="Q23" s="1128" t="s">
        <v>456</v>
      </c>
      <c r="R23" s="1133">
        <v>1</v>
      </c>
      <c r="S23" s="1128">
        <v>50000000</v>
      </c>
      <c r="T23" s="1134">
        <f t="shared" si="1"/>
        <v>50000000</v>
      </c>
      <c r="U23" s="1150"/>
      <c r="V23" s="1153"/>
      <c r="X23" s="1"/>
      <c r="Y23" s="1154"/>
      <c r="Z23" s="1152"/>
      <c r="AA23" s="1132" t="s">
        <v>1301</v>
      </c>
      <c r="AB23" s="1128" t="s">
        <v>456</v>
      </c>
      <c r="AC23" s="1133">
        <v>1</v>
      </c>
      <c r="AD23" s="1128">
        <v>20000000</v>
      </c>
      <c r="AE23" s="1134">
        <f t="shared" si="2"/>
        <v>20000000</v>
      </c>
      <c r="AF23" s="1150"/>
      <c r="AG23" s="1153"/>
    </row>
    <row r="24" spans="1:33" s="12" customFormat="1" ht="37.5" customHeight="1">
      <c r="A24" s="298"/>
      <c r="B24" s="299"/>
      <c r="C24" s="300"/>
      <c r="D24" s="1132" t="s">
        <v>1293</v>
      </c>
      <c r="E24" s="1128" t="s">
        <v>456</v>
      </c>
      <c r="F24" s="1133">
        <v>1</v>
      </c>
      <c r="G24" s="1128">
        <v>20000000</v>
      </c>
      <c r="H24" s="1134">
        <f t="shared" si="0"/>
        <v>20000000</v>
      </c>
      <c r="I24" s="298"/>
      <c r="J24" s="304"/>
      <c r="M24" s="1150"/>
      <c r="N24" s="1154"/>
      <c r="O24" s="1152"/>
      <c r="P24" s="1132" t="s">
        <v>1301</v>
      </c>
      <c r="Q24" s="1128" t="s">
        <v>456</v>
      </c>
      <c r="R24" s="1133">
        <v>1</v>
      </c>
      <c r="S24" s="1128">
        <v>20000000</v>
      </c>
      <c r="T24" s="1134">
        <f t="shared" si="1"/>
        <v>20000000</v>
      </c>
      <c r="U24" s="1150"/>
      <c r="V24" s="1153"/>
      <c r="X24" s="1"/>
      <c r="Y24" s="1154"/>
      <c r="Z24" s="1152"/>
      <c r="AA24" s="1132" t="s">
        <v>1302</v>
      </c>
      <c r="AB24" s="1128" t="s">
        <v>456</v>
      </c>
      <c r="AC24" s="1133">
        <v>1</v>
      </c>
      <c r="AD24" s="1128">
        <v>30000000</v>
      </c>
      <c r="AE24" s="1134">
        <f t="shared" si="2"/>
        <v>30000000</v>
      </c>
      <c r="AF24" s="1150"/>
      <c r="AG24" s="1153"/>
    </row>
    <row r="25" spans="1:33" s="12" customFormat="1" ht="37.5" customHeight="1">
      <c r="A25" s="298"/>
      <c r="B25" s="299"/>
      <c r="C25" s="300"/>
      <c r="D25" s="1132" t="s">
        <v>1294</v>
      </c>
      <c r="E25" s="1128" t="s">
        <v>456</v>
      </c>
      <c r="F25" s="1133">
        <v>1</v>
      </c>
      <c r="G25" s="1128">
        <v>50000000</v>
      </c>
      <c r="H25" s="1134">
        <f t="shared" si="0"/>
        <v>50000000</v>
      </c>
      <c r="I25" s="298"/>
      <c r="J25" s="304"/>
      <c r="M25" s="1150"/>
      <c r="N25" s="1154"/>
      <c r="O25" s="1152"/>
      <c r="P25" s="1132" t="s">
        <v>1302</v>
      </c>
      <c r="Q25" s="1128" t="s">
        <v>456</v>
      </c>
      <c r="R25" s="1133">
        <v>1</v>
      </c>
      <c r="S25" s="1128">
        <v>30000000</v>
      </c>
      <c r="T25" s="1134">
        <f t="shared" si="1"/>
        <v>30000000</v>
      </c>
      <c r="U25" s="1150"/>
      <c r="V25" s="1153"/>
      <c r="X25" s="1"/>
      <c r="Y25" s="1154"/>
      <c r="Z25" s="1152"/>
      <c r="AA25" s="1132" t="s">
        <v>1305</v>
      </c>
      <c r="AB25" s="1128" t="s">
        <v>456</v>
      </c>
      <c r="AC25" s="1133">
        <v>1</v>
      </c>
      <c r="AD25" s="1128">
        <v>20000000</v>
      </c>
      <c r="AE25" s="1134">
        <f t="shared" si="2"/>
        <v>20000000</v>
      </c>
      <c r="AF25" s="1150"/>
      <c r="AG25" s="1153"/>
    </row>
    <row r="26" spans="1:33" s="12" customFormat="1" ht="37.5" customHeight="1">
      <c r="A26" s="298"/>
      <c r="B26" s="299"/>
      <c r="C26" s="300"/>
      <c r="D26" s="1132" t="s">
        <v>1295</v>
      </c>
      <c r="E26" s="1128" t="s">
        <v>456</v>
      </c>
      <c r="F26" s="1133">
        <v>1</v>
      </c>
      <c r="G26" s="1128">
        <v>60000000</v>
      </c>
      <c r="H26" s="1134">
        <f t="shared" si="0"/>
        <v>60000000</v>
      </c>
      <c r="I26" s="298"/>
      <c r="J26" s="304"/>
      <c r="M26" s="1150"/>
      <c r="N26" s="1154"/>
      <c r="O26" s="1152"/>
      <c r="P26" s="1132" t="s">
        <v>1297</v>
      </c>
      <c r="Q26" s="1128" t="s">
        <v>456</v>
      </c>
      <c r="R26" s="1133">
        <v>1</v>
      </c>
      <c r="S26" s="1128">
        <v>20000000</v>
      </c>
      <c r="T26" s="1134">
        <f t="shared" si="1"/>
        <v>20000000</v>
      </c>
      <c r="U26" s="1150"/>
      <c r="V26" s="1153"/>
      <c r="X26" s="1"/>
      <c r="Y26" s="1154"/>
      <c r="Z26" s="1152"/>
      <c r="AA26" s="1132" t="s">
        <v>1293</v>
      </c>
      <c r="AB26" s="1128" t="s">
        <v>456</v>
      </c>
      <c r="AC26" s="1133">
        <v>1</v>
      </c>
      <c r="AD26" s="1128">
        <v>20000000</v>
      </c>
      <c r="AE26" s="1134">
        <f t="shared" si="2"/>
        <v>20000000</v>
      </c>
      <c r="AF26" s="1150"/>
      <c r="AG26" s="1153"/>
    </row>
    <row r="27" spans="1:33" s="12" customFormat="1" ht="37.5" customHeight="1">
      <c r="A27" s="298"/>
      <c r="B27" s="299"/>
      <c r="C27" s="300"/>
      <c r="D27" s="1132" t="s">
        <v>1296</v>
      </c>
      <c r="E27" s="1128" t="s">
        <v>456</v>
      </c>
      <c r="F27" s="1133">
        <v>1</v>
      </c>
      <c r="G27" s="1128">
        <v>80000000</v>
      </c>
      <c r="H27" s="1134">
        <f t="shared" si="0"/>
        <v>80000000</v>
      </c>
      <c r="I27" s="298"/>
      <c r="J27" s="304" t="s">
        <v>764</v>
      </c>
      <c r="M27" s="1150"/>
      <c r="N27" s="1154"/>
      <c r="O27" s="1152"/>
      <c r="P27" s="1132" t="s">
        <v>1303</v>
      </c>
      <c r="Q27" s="1128" t="s">
        <v>456</v>
      </c>
      <c r="R27" s="1133">
        <v>1</v>
      </c>
      <c r="S27" s="1128">
        <v>80000000</v>
      </c>
      <c r="T27" s="1134">
        <f t="shared" si="1"/>
        <v>80000000</v>
      </c>
      <c r="U27" s="1150"/>
      <c r="V27" s="1153"/>
      <c r="X27" s="1"/>
      <c r="Y27" s="1154"/>
      <c r="Z27" s="1152"/>
      <c r="AA27" s="1132" t="s">
        <v>1303</v>
      </c>
      <c r="AB27" s="1128" t="s">
        <v>456</v>
      </c>
      <c r="AC27" s="1133">
        <v>1</v>
      </c>
      <c r="AD27" s="1128">
        <v>80000000</v>
      </c>
      <c r="AE27" s="1134">
        <f t="shared" si="2"/>
        <v>80000000</v>
      </c>
      <c r="AF27" s="1150"/>
      <c r="AG27" s="1153"/>
    </row>
    <row r="28" spans="1:33" s="12" customFormat="1" ht="37.5" customHeight="1">
      <c r="A28" s="298"/>
      <c r="B28" s="299"/>
      <c r="C28" s="300"/>
      <c r="D28" s="1132" t="s">
        <v>1297</v>
      </c>
      <c r="E28" s="1128" t="s">
        <v>456</v>
      </c>
      <c r="F28" s="1133">
        <v>1</v>
      </c>
      <c r="G28" s="1128">
        <v>20000000</v>
      </c>
      <c r="H28" s="1134">
        <f t="shared" si="0"/>
        <v>20000000</v>
      </c>
      <c r="I28" s="298"/>
      <c r="J28" s="304" t="s">
        <v>764</v>
      </c>
      <c r="M28" s="1150"/>
      <c r="N28" s="1154"/>
      <c r="O28" s="1152"/>
      <c r="P28" s="1155"/>
      <c r="Q28" s="1128"/>
      <c r="R28" s="1133"/>
      <c r="S28" s="1156"/>
      <c r="T28" s="1157">
        <f t="shared" si="1"/>
        <v>0</v>
      </c>
      <c r="U28" s="1150"/>
      <c r="V28" s="1153"/>
      <c r="X28" s="1"/>
      <c r="Y28" s="1154"/>
      <c r="Z28" s="1152"/>
      <c r="AA28" s="1155"/>
      <c r="AB28" s="1128"/>
      <c r="AC28" s="1133"/>
      <c r="AD28" s="1156"/>
      <c r="AE28" s="1157">
        <f t="shared" si="2"/>
        <v>0</v>
      </c>
      <c r="AF28" s="1150"/>
      <c r="AG28" s="1153"/>
    </row>
    <row r="29" spans="1:33" s="12" customFormat="1" ht="18.75" customHeight="1">
      <c r="A29" s="298"/>
      <c r="B29" s="299"/>
      <c r="C29" s="300"/>
      <c r="D29" s="301"/>
      <c r="E29" s="17"/>
      <c r="F29" s="302"/>
      <c r="G29" s="17"/>
      <c r="H29" s="303"/>
      <c r="I29" s="298"/>
      <c r="J29" s="304"/>
      <c r="M29" s="1150"/>
      <c r="N29" s="1154"/>
      <c r="O29" s="1152"/>
      <c r="P29" s="1135"/>
      <c r="Q29" s="1128"/>
      <c r="R29" s="1158"/>
      <c r="S29" s="1128"/>
      <c r="T29" s="1134"/>
      <c r="U29" s="1150"/>
      <c r="V29" s="1153"/>
      <c r="X29" s="1"/>
      <c r="Y29" s="1154"/>
      <c r="Z29" s="1152"/>
      <c r="AA29" s="1135"/>
      <c r="AB29" s="1128"/>
      <c r="AC29" s="1158"/>
      <c r="AD29" s="1128"/>
      <c r="AE29" s="1134"/>
      <c r="AF29" s="1150"/>
      <c r="AG29" s="1153"/>
    </row>
    <row r="30" spans="1:33" ht="36" customHeight="1">
      <c r="A30" s="47"/>
      <c r="B30" s="48" t="s">
        <v>308</v>
      </c>
      <c r="C30" s="305"/>
      <c r="D30" s="306"/>
      <c r="E30" s="307"/>
      <c r="F30" s="75"/>
      <c r="G30" s="307"/>
      <c r="H30" s="307">
        <f>SUM(H7:H29)</f>
        <v>635840000</v>
      </c>
      <c r="I30" s="75"/>
      <c r="J30" s="308"/>
      <c r="M30" s="47"/>
      <c r="N30" s="48" t="s">
        <v>308</v>
      </c>
      <c r="O30" s="305"/>
      <c r="P30" s="306"/>
      <c r="Q30" s="1159"/>
      <c r="R30" s="1160"/>
      <c r="S30" s="1159"/>
      <c r="T30" s="1159">
        <f>SUM(T7:T29)</f>
        <v>584840000</v>
      </c>
      <c r="U30" s="1160"/>
      <c r="V30" s="1161"/>
      <c r="X30" s="1"/>
      <c r="Y30" s="48" t="s">
        <v>308</v>
      </c>
      <c r="Z30" s="305"/>
      <c r="AA30" s="306"/>
      <c r="AB30" s="1159"/>
      <c r="AC30" s="1160"/>
      <c r="AD30" s="1159"/>
      <c r="AE30" s="1159">
        <f>SUM(AE7:AE29)</f>
        <v>595840000</v>
      </c>
      <c r="AF30" s="1160"/>
      <c r="AG30" s="1161"/>
    </row>
    <row r="31" spans="1:33" ht="36" customHeight="1">
      <c r="A31" s="47"/>
      <c r="B31" s="48" t="s">
        <v>310</v>
      </c>
      <c r="C31" s="305"/>
      <c r="D31" s="306"/>
      <c r="E31" s="307"/>
      <c r="F31" s="75"/>
      <c r="G31" s="307"/>
      <c r="H31" s="307">
        <f>TRUNC(H30/12)</f>
        <v>52986666</v>
      </c>
      <c r="I31" s="75"/>
      <c r="J31" s="309" t="s">
        <v>309</v>
      </c>
      <c r="M31" s="47"/>
      <c r="N31" s="48" t="s">
        <v>310</v>
      </c>
      <c r="O31" s="305"/>
      <c r="P31" s="306"/>
      <c r="Q31" s="1159"/>
      <c r="R31" s="1160"/>
      <c r="S31" s="1159"/>
      <c r="T31" s="1159">
        <f>TRUNC(T30/12)</f>
        <v>48736666</v>
      </c>
      <c r="U31" s="1160"/>
      <c r="V31" s="1162" t="s">
        <v>309</v>
      </c>
      <c r="X31" s="1"/>
      <c r="Y31" s="48" t="s">
        <v>310</v>
      </c>
      <c r="Z31" s="305"/>
      <c r="AA31" s="306"/>
      <c r="AB31" s="1159"/>
      <c r="AC31" s="1160"/>
      <c r="AD31" s="1159"/>
      <c r="AE31" s="1159">
        <f>TRUNC(AE30/12)</f>
        <v>49653333</v>
      </c>
      <c r="AF31" s="1160"/>
      <c r="AG31" s="1162" t="s">
        <v>309</v>
      </c>
    </row>
    <row r="32" spans="1:33" s="255" customFormat="1" ht="19.5" customHeight="1">
      <c r="A32" s="43" t="s">
        <v>641</v>
      </c>
      <c r="E32" s="310"/>
      <c r="F32" s="310"/>
      <c r="G32" s="310"/>
      <c r="H32" s="311"/>
      <c r="I32" s="311"/>
      <c r="J32" s="311"/>
      <c r="M32" s="43" t="s">
        <v>627</v>
      </c>
      <c r="Q32" s="1163"/>
      <c r="R32" s="1163"/>
      <c r="S32" s="1163"/>
      <c r="T32" s="1164"/>
      <c r="U32" s="1164"/>
      <c r="V32" s="1164"/>
      <c r="X32" s="1"/>
      <c r="AB32" s="1163"/>
      <c r="AC32" s="1163"/>
      <c r="AD32" s="1163"/>
      <c r="AE32" s="1164"/>
      <c r="AF32" s="1164"/>
      <c r="AG32" s="1164"/>
    </row>
    <row r="33" spans="1:29" s="312" customFormat="1" ht="19.5" customHeight="1">
      <c r="A33" s="43"/>
      <c r="F33" s="313"/>
      <c r="M33" s="43"/>
      <c r="R33" s="1165"/>
      <c r="X33" s="43"/>
      <c r="AC33" s="1165"/>
    </row>
    <row r="34" spans="1:29" ht="19.5" customHeight="1">
      <c r="A34" s="43"/>
    </row>
    <row r="36" spans="1:29">
      <c r="A36" s="43"/>
    </row>
  </sheetData>
  <mergeCells count="3">
    <mergeCell ref="I5:J5"/>
    <mergeCell ref="U5:V5"/>
    <mergeCell ref="AF5:AG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4" firstPageNumber="141" orientation="portrait" r:id="rId1"/>
  <headerFooter alignWithMargins="0">
    <oddFooter>&amp;C&amp;"바탕체,보통"- &amp;P -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view="pageBreakPreview" zoomScaleNormal="100" zoomScaleSheetLayoutView="100" workbookViewId="0">
      <selection activeCell="H12" sqref="H12"/>
    </sheetView>
  </sheetViews>
  <sheetFormatPr defaultRowHeight="12"/>
  <cols>
    <col min="1" max="1" width="1.33203125" style="278" customWidth="1"/>
    <col min="2" max="2" width="12.6640625" style="278" customWidth="1"/>
    <col min="3" max="3" width="1.33203125" style="278" customWidth="1"/>
    <col min="4" max="4" width="19.33203125" style="278" customWidth="1"/>
    <col min="5" max="5" width="6.77734375" style="39" bestFit="1" customWidth="1"/>
    <col min="6" max="6" width="7.88671875" style="279" customWidth="1"/>
    <col min="7" max="7" width="12" style="39" customWidth="1"/>
    <col min="8" max="8" width="12.33203125" style="39" customWidth="1"/>
    <col min="9" max="9" width="0.44140625" style="39" customWidth="1"/>
    <col min="10" max="10" width="14.777343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32 ] </v>
      </c>
      <c r="K1" s="34">
        <f>'변동)수선유지비'!K1+1</f>
        <v>32</v>
      </c>
    </row>
    <row r="2" spans="1:11" s="36" customFormat="1" ht="39.950000000000003" customHeight="1">
      <c r="A2" s="35" t="s">
        <v>484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</row>
    <row r="6" spans="1:11" s="12" customFormat="1" ht="43.5" customHeight="1">
      <c r="A6" s="340"/>
      <c r="B6" s="341"/>
      <c r="C6" s="316"/>
      <c r="D6" s="316"/>
      <c r="E6" s="17"/>
      <c r="F6" s="342"/>
      <c r="G6" s="17" t="s">
        <v>140</v>
      </c>
      <c r="H6" s="303"/>
      <c r="I6" s="298"/>
      <c r="J6" s="303"/>
    </row>
    <row r="7" spans="1:11" s="12" customFormat="1" ht="31.5" customHeight="1">
      <c r="A7" s="298"/>
      <c r="B7" s="318" t="s">
        <v>485</v>
      </c>
      <c r="C7" s="300"/>
      <c r="D7" s="304" t="s">
        <v>1066</v>
      </c>
      <c r="E7" s="17" t="s">
        <v>486</v>
      </c>
      <c r="F7" s="302">
        <v>1</v>
      </c>
      <c r="G7" s="17">
        <v>109600</v>
      </c>
      <c r="H7" s="303">
        <f>TRUNC(G7*F7)</f>
        <v>109600</v>
      </c>
      <c r="I7" s="298"/>
      <c r="J7" s="304" t="s">
        <v>765</v>
      </c>
    </row>
    <row r="8" spans="1:11" s="12" customFormat="1" ht="31.5" customHeight="1">
      <c r="A8" s="298"/>
      <c r="B8" s="299"/>
      <c r="C8" s="300"/>
      <c r="D8" s="304" t="s">
        <v>628</v>
      </c>
      <c r="E8" s="17" t="s">
        <v>625</v>
      </c>
      <c r="F8" s="302">
        <v>1.3332999999999999</v>
      </c>
      <c r="G8" s="17">
        <v>994200</v>
      </c>
      <c r="H8" s="303">
        <f>TRUNC(G8*F8)</f>
        <v>1325566</v>
      </c>
      <c r="I8" s="298"/>
      <c r="J8" s="304" t="s">
        <v>766</v>
      </c>
    </row>
    <row r="9" spans="1:11" s="12" customFormat="1" ht="31.5" customHeight="1">
      <c r="A9" s="298"/>
      <c r="B9" s="299"/>
      <c r="C9" s="300"/>
      <c r="D9" s="304" t="s">
        <v>657</v>
      </c>
      <c r="E9" s="17" t="s">
        <v>486</v>
      </c>
      <c r="F9" s="302">
        <v>2</v>
      </c>
      <c r="G9" s="17">
        <v>66000</v>
      </c>
      <c r="H9" s="303">
        <f>TRUNC(G9*F9)</f>
        <v>132000</v>
      </c>
      <c r="I9" s="298"/>
      <c r="J9" s="304" t="s">
        <v>767</v>
      </c>
    </row>
    <row r="10" spans="1:11" s="12" customFormat="1" ht="31.5" customHeight="1">
      <c r="A10" s="298"/>
      <c r="B10" s="299"/>
      <c r="C10" s="300"/>
      <c r="D10" s="304" t="s">
        <v>647</v>
      </c>
      <c r="E10" s="17" t="s">
        <v>486</v>
      </c>
      <c r="F10" s="302">
        <v>2</v>
      </c>
      <c r="G10" s="17">
        <v>118000</v>
      </c>
      <c r="H10" s="303">
        <f>TRUNC(G10*F10)</f>
        <v>236000</v>
      </c>
      <c r="I10" s="298"/>
      <c r="J10" s="304" t="s">
        <v>1067</v>
      </c>
    </row>
    <row r="11" spans="1:11" s="12" customFormat="1" ht="43.5" customHeight="1">
      <c r="A11" s="298"/>
      <c r="B11" s="299"/>
      <c r="C11" s="300"/>
      <c r="D11" s="301"/>
      <c r="E11" s="17"/>
      <c r="F11" s="336"/>
      <c r="G11" s="17"/>
      <c r="H11" s="303"/>
      <c r="I11" s="298"/>
      <c r="J11" s="304"/>
    </row>
    <row r="12" spans="1:11" ht="50.1" customHeight="1">
      <c r="A12" s="47"/>
      <c r="B12" s="48" t="s">
        <v>308</v>
      </c>
      <c r="C12" s="305"/>
      <c r="D12" s="306"/>
      <c r="E12" s="307"/>
      <c r="F12" s="75"/>
      <c r="G12" s="307"/>
      <c r="H12" s="307">
        <f>SUM(H7:H11)</f>
        <v>1803166</v>
      </c>
      <c r="I12" s="75"/>
      <c r="J12" s="308"/>
    </row>
    <row r="13" spans="1:11" ht="50.1" customHeight="1">
      <c r="A13" s="47"/>
      <c r="B13" s="48" t="s">
        <v>310</v>
      </c>
      <c r="C13" s="305"/>
      <c r="D13" s="306"/>
      <c r="E13" s="307"/>
      <c r="F13" s="75"/>
      <c r="G13" s="307"/>
      <c r="H13" s="307">
        <f>TRUNC(H12/12)</f>
        <v>150263</v>
      </c>
      <c r="I13" s="75"/>
      <c r="J13" s="309" t="s">
        <v>309</v>
      </c>
    </row>
    <row r="14" spans="1:11" s="255" customFormat="1" ht="19.5" customHeight="1">
      <c r="A14" s="43" t="s">
        <v>641</v>
      </c>
      <c r="E14" s="310"/>
      <c r="F14" s="310"/>
      <c r="G14" s="310"/>
      <c r="H14" s="311"/>
      <c r="I14" s="311"/>
      <c r="J14" s="311"/>
    </row>
    <row r="15" spans="1:11" s="312" customFormat="1" ht="19.5" customHeight="1">
      <c r="A15" s="43"/>
      <c r="F15" s="313"/>
    </row>
    <row r="16" spans="1:11" ht="19.5" customHeight="1">
      <c r="A16" s="43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3" firstPageNumber="141" orientation="portrait" r:id="rId1"/>
  <headerFooter alignWithMargins="0">
    <oddFooter>&amp;C&amp;"바탕체,보통"- &amp;P -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view="pageBreakPreview" zoomScaleNormal="100" zoomScaleSheetLayoutView="100" workbookViewId="0">
      <selection activeCell="K8" sqref="K8"/>
    </sheetView>
  </sheetViews>
  <sheetFormatPr defaultRowHeight="12"/>
  <cols>
    <col min="1" max="1" width="1.33203125" style="278" customWidth="1"/>
    <col min="2" max="2" width="13.33203125" style="278" bestFit="1" customWidth="1"/>
    <col min="3" max="3" width="1.33203125" style="278" customWidth="1"/>
    <col min="4" max="4" width="15.44140625" style="278" customWidth="1"/>
    <col min="5" max="5" width="6.77734375" style="39" bestFit="1" customWidth="1"/>
    <col min="6" max="6" width="9.21875" style="279" customWidth="1"/>
    <col min="7" max="7" width="12" style="39" customWidth="1"/>
    <col min="8" max="8" width="12.33203125" style="39" customWidth="1"/>
    <col min="9" max="9" width="0.44140625" style="39" customWidth="1"/>
    <col min="10" max="10" width="15.7773437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33 ] </v>
      </c>
      <c r="K1" s="34">
        <f>'변동)측정검사수수료'!K1+1</f>
        <v>33</v>
      </c>
    </row>
    <row r="2" spans="1:11" s="36" customFormat="1" ht="39.950000000000003" customHeight="1">
      <c r="A2" s="35" t="s">
        <v>655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</row>
    <row r="7" spans="1:11" s="12" customFormat="1" ht="31.5" customHeight="1">
      <c r="A7" s="298"/>
      <c r="B7" s="318" t="s">
        <v>659</v>
      </c>
      <c r="C7" s="300"/>
      <c r="D7" s="301" t="s">
        <v>483</v>
      </c>
      <c r="E7" s="17" t="s">
        <v>486</v>
      </c>
      <c r="F7" s="319">
        <v>12</v>
      </c>
      <c r="G7" s="17">
        <v>530000</v>
      </c>
      <c r="H7" s="303">
        <f t="shared" ref="H7:H12" si="0">TRUNC(G7*F7)</f>
        <v>6360000</v>
      </c>
      <c r="I7" s="298"/>
      <c r="J7" s="304" t="s">
        <v>769</v>
      </c>
    </row>
    <row r="8" spans="1:11" s="12" customFormat="1" ht="31.5" customHeight="1">
      <c r="A8" s="298"/>
      <c r="B8" s="299"/>
      <c r="C8" s="300"/>
      <c r="D8" s="301" t="s">
        <v>473</v>
      </c>
      <c r="E8" s="17" t="s">
        <v>486</v>
      </c>
      <c r="F8" s="319">
        <v>12</v>
      </c>
      <c r="G8" s="17">
        <v>530000</v>
      </c>
      <c r="H8" s="303">
        <f t="shared" si="0"/>
        <v>6360000</v>
      </c>
      <c r="I8" s="298"/>
      <c r="J8" s="304" t="s">
        <v>769</v>
      </c>
    </row>
    <row r="9" spans="1:11" s="12" customFormat="1" ht="31.5" customHeight="1">
      <c r="A9" s="298"/>
      <c r="B9" s="299"/>
      <c r="C9" s="300"/>
      <c r="D9" s="301" t="s">
        <v>474</v>
      </c>
      <c r="E9" s="17" t="s">
        <v>486</v>
      </c>
      <c r="F9" s="319">
        <v>12</v>
      </c>
      <c r="G9" s="17">
        <v>530000</v>
      </c>
      <c r="H9" s="303">
        <f t="shared" si="0"/>
        <v>6360000</v>
      </c>
      <c r="I9" s="298"/>
      <c r="J9" s="304" t="s">
        <v>769</v>
      </c>
    </row>
    <row r="10" spans="1:11" s="12" customFormat="1" ht="31.5" customHeight="1">
      <c r="A10" s="298"/>
      <c r="B10" s="299"/>
      <c r="C10" s="300"/>
      <c r="D10" s="301" t="s">
        <v>475</v>
      </c>
      <c r="E10" s="17" t="s">
        <v>486</v>
      </c>
      <c r="F10" s="319">
        <v>12</v>
      </c>
      <c r="G10" s="17">
        <v>530000</v>
      </c>
      <c r="H10" s="303">
        <f t="shared" si="0"/>
        <v>6360000</v>
      </c>
      <c r="I10" s="298"/>
      <c r="J10" s="304" t="s">
        <v>769</v>
      </c>
    </row>
    <row r="11" spans="1:11" s="12" customFormat="1" ht="31.5" customHeight="1">
      <c r="A11" s="298"/>
      <c r="B11" s="299" t="s">
        <v>482</v>
      </c>
      <c r="C11" s="300"/>
      <c r="D11" s="301" t="s">
        <v>472</v>
      </c>
      <c r="E11" s="17" t="s">
        <v>486</v>
      </c>
      <c r="F11" s="319">
        <v>12</v>
      </c>
      <c r="G11" s="17">
        <v>170000</v>
      </c>
      <c r="H11" s="303">
        <f t="shared" si="0"/>
        <v>2040000</v>
      </c>
      <c r="I11" s="298"/>
      <c r="J11" s="304" t="s">
        <v>769</v>
      </c>
    </row>
    <row r="12" spans="1:11" s="12" customFormat="1" ht="31.5" customHeight="1">
      <c r="A12" s="298"/>
      <c r="B12" s="339" t="s">
        <v>660</v>
      </c>
      <c r="C12" s="300"/>
      <c r="D12" s="301" t="s">
        <v>658</v>
      </c>
      <c r="E12" s="17" t="s">
        <v>486</v>
      </c>
      <c r="F12" s="335">
        <v>48</v>
      </c>
      <c r="G12" s="17">
        <v>37500</v>
      </c>
      <c r="H12" s="303">
        <f t="shared" si="0"/>
        <v>1800000</v>
      </c>
      <c r="I12" s="298"/>
      <c r="J12" s="304" t="s">
        <v>768</v>
      </c>
    </row>
    <row r="13" spans="1:11" s="12" customFormat="1" ht="43.5" customHeight="1">
      <c r="A13" s="298"/>
      <c r="B13" s="299"/>
      <c r="C13" s="300"/>
      <c r="D13" s="301"/>
      <c r="E13" s="17"/>
      <c r="F13" s="302"/>
      <c r="G13" s="17"/>
      <c r="H13" s="303"/>
      <c r="I13" s="298"/>
      <c r="J13" s="304"/>
    </row>
    <row r="14" spans="1:11" ht="50.1" customHeight="1">
      <c r="A14" s="47"/>
      <c r="B14" s="48" t="s">
        <v>308</v>
      </c>
      <c r="C14" s="305"/>
      <c r="D14" s="306"/>
      <c r="E14" s="307"/>
      <c r="F14" s="75"/>
      <c r="G14" s="307"/>
      <c r="H14" s="307">
        <f>SUM(H7:H13)</f>
        <v>29280000</v>
      </c>
      <c r="I14" s="75"/>
      <c r="J14" s="308"/>
    </row>
    <row r="15" spans="1:11" ht="50.1" customHeight="1">
      <c r="A15" s="47"/>
      <c r="B15" s="48" t="s">
        <v>310</v>
      </c>
      <c r="C15" s="305"/>
      <c r="D15" s="306"/>
      <c r="E15" s="307"/>
      <c r="F15" s="75"/>
      <c r="G15" s="307"/>
      <c r="H15" s="307">
        <f>TRUNC(H14/12)</f>
        <v>2440000</v>
      </c>
      <c r="I15" s="75"/>
      <c r="J15" s="309" t="s">
        <v>309</v>
      </c>
    </row>
    <row r="16" spans="1:11" s="255" customFormat="1" ht="19.5" customHeight="1">
      <c r="A16" s="43" t="s">
        <v>641</v>
      </c>
      <c r="E16" s="310"/>
      <c r="F16" s="310"/>
      <c r="G16" s="310"/>
      <c r="H16" s="311"/>
      <c r="I16" s="311"/>
      <c r="J16" s="311"/>
    </row>
    <row r="17" spans="1:8" s="312" customFormat="1" ht="19.5" customHeight="1">
      <c r="A17" s="43"/>
      <c r="F17" s="313"/>
    </row>
    <row r="18" spans="1:8" ht="19.5" customHeight="1">
      <c r="A18" s="43"/>
    </row>
    <row r="20" spans="1:8">
      <c r="A20" s="43"/>
    </row>
    <row r="22" spans="1:8">
      <c r="H22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4" firstPageNumber="141" orientation="portrait" r:id="rId1"/>
  <headerFooter alignWithMargins="0">
    <oddFooter>&amp;C&amp;"바탕체,보통"- &amp;P -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view="pageBreakPreview" topLeftCell="A8" zoomScaleNormal="100" zoomScaleSheetLayoutView="100" workbookViewId="0">
      <selection activeCell="G12" sqref="G12"/>
    </sheetView>
  </sheetViews>
  <sheetFormatPr defaultRowHeight="12"/>
  <cols>
    <col min="1" max="1" width="1.33203125" style="278" customWidth="1"/>
    <col min="2" max="2" width="11.33203125" style="278" customWidth="1"/>
    <col min="3" max="3" width="1.33203125" style="278" customWidth="1"/>
    <col min="4" max="4" width="20.5546875" style="278" customWidth="1"/>
    <col min="5" max="5" width="6.109375" style="39" customWidth="1"/>
    <col min="6" max="6" width="9.88671875" style="279" bestFit="1" customWidth="1"/>
    <col min="7" max="7" width="12" style="39" customWidth="1"/>
    <col min="8" max="8" width="12.33203125" style="39" customWidth="1"/>
    <col min="9" max="9" width="0.44140625" style="39" customWidth="1"/>
    <col min="10" max="10" width="20.21875" style="279" bestFit="1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34 ] </v>
      </c>
      <c r="K1" s="34">
        <f>'변동)안전점검대행비'!K1+1</f>
        <v>34</v>
      </c>
    </row>
    <row r="2" spans="1:11" s="36" customFormat="1" ht="39.950000000000003" customHeight="1">
      <c r="A2" s="35" t="s">
        <v>501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</row>
    <row r="6" spans="1:11" ht="39.7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</row>
    <row r="7" spans="1:11" s="12" customFormat="1" ht="39.75" customHeight="1">
      <c r="A7" s="298"/>
      <c r="B7" s="318" t="s">
        <v>629</v>
      </c>
      <c r="C7" s="300"/>
      <c r="D7" s="301" t="s">
        <v>504</v>
      </c>
      <c r="E7" s="17" t="s">
        <v>507</v>
      </c>
      <c r="F7" s="319">
        <v>48</v>
      </c>
      <c r="G7" s="17">
        <v>479000</v>
      </c>
      <c r="H7" s="303">
        <f t="shared" ref="H7:H12" si="0">TRUNC(G7*F7)</f>
        <v>22992000</v>
      </c>
      <c r="I7" s="298"/>
      <c r="J7" s="304" t="s">
        <v>770</v>
      </c>
    </row>
    <row r="8" spans="1:11" s="12" customFormat="1" ht="39.75" customHeight="1">
      <c r="A8" s="298"/>
      <c r="B8" s="299"/>
      <c r="C8" s="300"/>
      <c r="D8" s="301" t="s">
        <v>505</v>
      </c>
      <c r="E8" s="17" t="s">
        <v>507</v>
      </c>
      <c r="F8" s="319">
        <v>12</v>
      </c>
      <c r="G8" s="17">
        <v>473000</v>
      </c>
      <c r="H8" s="303">
        <f t="shared" si="0"/>
        <v>5676000</v>
      </c>
      <c r="I8" s="298"/>
      <c r="J8" s="304" t="s">
        <v>771</v>
      </c>
    </row>
    <row r="9" spans="1:11" s="12" customFormat="1" ht="39.75" customHeight="1">
      <c r="A9" s="298"/>
      <c r="B9" s="299"/>
      <c r="C9" s="300"/>
      <c r="D9" s="301" t="s">
        <v>1069</v>
      </c>
      <c r="E9" s="17"/>
      <c r="F9" s="319">
        <v>12</v>
      </c>
      <c r="G9" s="17">
        <v>808000</v>
      </c>
      <c r="H9" s="303">
        <f t="shared" si="0"/>
        <v>9696000</v>
      </c>
      <c r="I9" s="298"/>
      <c r="J9" s="304" t="s">
        <v>1068</v>
      </c>
    </row>
    <row r="10" spans="1:11" s="12" customFormat="1" ht="39.75" customHeight="1">
      <c r="A10" s="298"/>
      <c r="B10" s="299" t="s">
        <v>502</v>
      </c>
      <c r="C10" s="300"/>
      <c r="D10" s="301" t="s">
        <v>506</v>
      </c>
      <c r="E10" s="17" t="s">
        <v>508</v>
      </c>
      <c r="F10" s="319">
        <v>12000</v>
      </c>
      <c r="G10" s="17">
        <v>1400</v>
      </c>
      <c r="H10" s="303">
        <f t="shared" si="0"/>
        <v>16800000</v>
      </c>
      <c r="I10" s="298"/>
      <c r="J10" s="304" t="s">
        <v>772</v>
      </c>
    </row>
    <row r="11" spans="1:11" s="12" customFormat="1" ht="39.75" customHeight="1">
      <c r="A11" s="298"/>
      <c r="B11" s="299"/>
      <c r="C11" s="300"/>
      <c r="D11" s="301" t="s">
        <v>1070</v>
      </c>
      <c r="E11" s="17" t="s">
        <v>508</v>
      </c>
      <c r="F11" s="319">
        <v>2400</v>
      </c>
      <c r="G11" s="17">
        <v>1585</v>
      </c>
      <c r="H11" s="303">
        <f t="shared" si="0"/>
        <v>3804000</v>
      </c>
      <c r="I11" s="298"/>
      <c r="J11" s="304" t="s">
        <v>1071</v>
      </c>
    </row>
    <row r="12" spans="1:11" s="12" customFormat="1" ht="39.75" customHeight="1">
      <c r="A12" s="298"/>
      <c r="B12" s="299" t="s">
        <v>503</v>
      </c>
      <c r="C12" s="300"/>
      <c r="D12" s="301" t="s">
        <v>572</v>
      </c>
      <c r="E12" s="17" t="s">
        <v>500</v>
      </c>
      <c r="F12" s="319">
        <v>6</v>
      </c>
      <c r="G12" s="17">
        <v>50000</v>
      </c>
      <c r="H12" s="303">
        <f t="shared" si="0"/>
        <v>300000</v>
      </c>
      <c r="I12" s="298"/>
      <c r="J12" s="304" t="s">
        <v>773</v>
      </c>
    </row>
    <row r="13" spans="1:11" s="12" customFormat="1" ht="39.75" customHeight="1">
      <c r="A13" s="298"/>
      <c r="B13" s="299"/>
      <c r="C13" s="300"/>
      <c r="D13" s="301"/>
      <c r="E13" s="17"/>
      <c r="F13" s="302"/>
      <c r="G13" s="17"/>
      <c r="H13" s="303"/>
      <c r="I13" s="298"/>
      <c r="J13" s="304"/>
    </row>
    <row r="14" spans="1:11" s="12" customFormat="1" ht="39.75" customHeight="1">
      <c r="A14" s="298"/>
      <c r="B14" s="299"/>
      <c r="C14" s="300"/>
      <c r="D14" s="301"/>
      <c r="E14" s="17"/>
      <c r="F14" s="302"/>
      <c r="G14" s="17"/>
      <c r="H14" s="303"/>
      <c r="I14" s="298"/>
      <c r="J14" s="304"/>
    </row>
    <row r="15" spans="1:11" ht="50.1" customHeight="1">
      <c r="A15" s="47"/>
      <c r="B15" s="48" t="s">
        <v>308</v>
      </c>
      <c r="C15" s="305"/>
      <c r="D15" s="306"/>
      <c r="E15" s="307"/>
      <c r="F15" s="75"/>
      <c r="G15" s="307"/>
      <c r="H15" s="307">
        <f>SUM(H7:H14)</f>
        <v>59268000</v>
      </c>
      <c r="I15" s="75"/>
      <c r="J15" s="308"/>
    </row>
    <row r="16" spans="1:11" ht="50.1" customHeight="1">
      <c r="A16" s="47"/>
      <c r="B16" s="48" t="s">
        <v>310</v>
      </c>
      <c r="C16" s="305"/>
      <c r="D16" s="306"/>
      <c r="E16" s="307"/>
      <c r="F16" s="75"/>
      <c r="G16" s="307"/>
      <c r="H16" s="307">
        <f>TRUNC(H15/12)</f>
        <v>4939000</v>
      </c>
      <c r="I16" s="75"/>
      <c r="J16" s="309" t="s">
        <v>309</v>
      </c>
    </row>
    <row r="17" spans="1:11" s="255" customFormat="1" ht="19.5" customHeight="1">
      <c r="A17" s="43" t="s">
        <v>641</v>
      </c>
      <c r="E17" s="310"/>
      <c r="F17" s="310"/>
      <c r="G17" s="310"/>
      <c r="H17" s="311"/>
      <c r="I17" s="311"/>
      <c r="J17" s="311"/>
      <c r="K17" s="34"/>
    </row>
    <row r="18" spans="1:11" s="312" customFormat="1" ht="19.5" customHeight="1">
      <c r="A18" s="43"/>
      <c r="F18" s="313"/>
    </row>
    <row r="19" spans="1:11" ht="19.5" customHeight="1">
      <c r="A19" s="43"/>
    </row>
    <row r="21" spans="1:11" ht="13.5" customHeight="1">
      <c r="A21" s="40" t="s">
        <v>1133</v>
      </c>
      <c r="B21" s="40"/>
      <c r="C21" s="40"/>
      <c r="D21" s="40"/>
      <c r="E21" s="40"/>
      <c r="F21" s="40"/>
      <c r="G21" s="40"/>
      <c r="H21" s="40"/>
      <c r="I21" s="40"/>
      <c r="J21" s="40"/>
    </row>
    <row r="23" spans="1:11">
      <c r="H23" s="314"/>
    </row>
    <row r="24" spans="1:11" ht="23.25" customHeight="1"/>
    <row r="25" spans="1:11" ht="23.25" customHeight="1"/>
    <row r="26" spans="1:11" ht="23.25" customHeight="1"/>
    <row r="27" spans="1:11" ht="23.25" customHeight="1"/>
    <row r="28" spans="1:11" ht="23.25" customHeight="1"/>
    <row r="29" spans="1:11" ht="23.25" customHeight="1"/>
    <row r="30" spans="1:11" ht="23.25" customHeight="1"/>
    <row r="31" spans="1:11" ht="23.25" customHeight="1"/>
    <row r="32" spans="1:11" ht="23.25" customHeight="1"/>
    <row r="33" ht="23.25" customHeight="1"/>
    <row r="34" ht="23.25" customHeight="1"/>
    <row r="35" ht="23.25" customHeight="1"/>
    <row r="36" ht="23.25" customHeight="1"/>
    <row r="37" ht="23.25" customHeight="1"/>
    <row r="38" ht="23.25" customHeight="1"/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7" firstPageNumber="141" orientation="portrait" r:id="rId1"/>
  <headerFooter alignWithMargins="0">
    <oddFooter>&amp;C&amp;"바탕체,보통"&amp;12- &amp;P -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view="pageBreakPreview" zoomScaleNormal="100" zoomScaleSheetLayoutView="100" workbookViewId="0"/>
  </sheetViews>
  <sheetFormatPr defaultRowHeight="12"/>
  <cols>
    <col min="1" max="1" width="1.33203125" style="278" customWidth="1"/>
    <col min="2" max="2" width="10.33203125" style="278" customWidth="1"/>
    <col min="3" max="3" width="1.33203125" style="278" customWidth="1"/>
    <col min="4" max="4" width="13.109375" style="278" customWidth="1"/>
    <col min="5" max="5" width="6.77734375" style="39" bestFit="1" customWidth="1"/>
    <col min="6" max="6" width="9.21875" style="279" customWidth="1"/>
    <col min="7" max="7" width="12" style="39" customWidth="1"/>
    <col min="8" max="8" width="12.33203125" style="39" customWidth="1"/>
    <col min="9" max="9" width="0.44140625" style="39" customWidth="1"/>
    <col min="10" max="10" width="14.44140625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35 ] </v>
      </c>
      <c r="K1" s="34">
        <f>'변동)차량유지비'!K1+1</f>
        <v>35</v>
      </c>
    </row>
    <row r="2" spans="1:11" s="36" customFormat="1" ht="39.950000000000003" customHeight="1">
      <c r="A2" s="35" t="s">
        <v>494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748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</row>
    <row r="7" spans="1:11" s="12" customFormat="1" ht="31.5" customHeight="1">
      <c r="A7" s="298"/>
      <c r="B7" s="318" t="s">
        <v>495</v>
      </c>
      <c r="C7" s="300"/>
      <c r="D7" s="301" t="s">
        <v>573</v>
      </c>
      <c r="E7" s="17" t="s">
        <v>486</v>
      </c>
      <c r="F7" s="336">
        <v>48</v>
      </c>
      <c r="G7" s="17">
        <v>130000</v>
      </c>
      <c r="H7" s="303">
        <f>TRUNC(G7*F7)</f>
        <v>6240000</v>
      </c>
      <c r="I7" s="298"/>
      <c r="J7" s="304" t="s">
        <v>774</v>
      </c>
    </row>
    <row r="8" spans="1:11" s="12" customFormat="1" ht="31.5" customHeight="1">
      <c r="A8" s="298"/>
      <c r="B8" s="299"/>
      <c r="C8" s="300"/>
      <c r="D8" s="301"/>
      <c r="E8" s="17"/>
      <c r="F8" s="302"/>
      <c r="G8" s="17"/>
      <c r="H8" s="303"/>
      <c r="I8" s="298"/>
      <c r="J8" s="304"/>
    </row>
    <row r="9" spans="1:11" s="12" customFormat="1" ht="31.5" customHeight="1">
      <c r="A9" s="298"/>
      <c r="B9" s="299"/>
      <c r="C9" s="300"/>
      <c r="D9" s="301"/>
      <c r="E9" s="17"/>
      <c r="F9" s="302"/>
      <c r="G9" s="17"/>
      <c r="H9" s="303"/>
      <c r="I9" s="298"/>
      <c r="J9" s="304"/>
    </row>
    <row r="10" spans="1:11" s="12" customFormat="1" ht="43.5" customHeight="1">
      <c r="A10" s="298"/>
      <c r="B10" s="299"/>
      <c r="C10" s="300"/>
      <c r="D10" s="301"/>
      <c r="E10" s="17"/>
      <c r="F10" s="302"/>
      <c r="G10" s="17"/>
      <c r="H10" s="303"/>
      <c r="I10" s="298"/>
      <c r="J10" s="304"/>
    </row>
    <row r="11" spans="1:11" ht="50.1" customHeight="1">
      <c r="A11" s="47"/>
      <c r="B11" s="48" t="s">
        <v>308</v>
      </c>
      <c r="C11" s="305"/>
      <c r="D11" s="306"/>
      <c r="E11" s="307"/>
      <c r="F11" s="75"/>
      <c r="G11" s="307"/>
      <c r="H11" s="307">
        <f>SUM(H7:H10)</f>
        <v>6240000</v>
      </c>
      <c r="I11" s="75"/>
      <c r="J11" s="308"/>
    </row>
    <row r="12" spans="1:11" ht="50.1" customHeight="1">
      <c r="A12" s="47"/>
      <c r="B12" s="48" t="s">
        <v>310</v>
      </c>
      <c r="C12" s="305"/>
      <c r="D12" s="306"/>
      <c r="E12" s="307"/>
      <c r="F12" s="75"/>
      <c r="G12" s="307"/>
      <c r="H12" s="307">
        <f>TRUNC(H11/12)</f>
        <v>520000</v>
      </c>
      <c r="I12" s="75"/>
      <c r="J12" s="309" t="s">
        <v>309</v>
      </c>
    </row>
    <row r="13" spans="1:11" s="255" customFormat="1" ht="19.5" customHeight="1">
      <c r="A13" s="43" t="s">
        <v>627</v>
      </c>
      <c r="E13" s="310"/>
      <c r="F13" s="310"/>
      <c r="G13" s="310"/>
      <c r="H13" s="311"/>
      <c r="I13" s="311"/>
      <c r="J13" s="311"/>
    </row>
    <row r="14" spans="1:11" s="312" customFormat="1" ht="19.5" customHeight="1">
      <c r="A14" s="43"/>
      <c r="F14" s="313"/>
    </row>
    <row r="15" spans="1:11" ht="19.5" customHeight="1">
      <c r="A15" s="43"/>
    </row>
    <row r="17" spans="1:8">
      <c r="A17" s="43"/>
    </row>
    <row r="19" spans="1:8">
      <c r="H19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91" firstPageNumber="141" orientation="portrait" r:id="rId1"/>
  <headerFooter alignWithMargins="0">
    <oddFooter>&amp;C&amp;"바탕체,보통"- &amp;P -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showGridLines="0" view="pageBreakPreview" zoomScale="112" zoomScaleNormal="100" zoomScaleSheetLayoutView="112" workbookViewId="0">
      <selection activeCell="E22" sqref="E22"/>
    </sheetView>
  </sheetViews>
  <sheetFormatPr defaultRowHeight="13.5"/>
  <cols>
    <col min="1" max="1" width="30.5546875" style="979" customWidth="1"/>
    <col min="2" max="3" width="8.33203125" style="979" customWidth="1"/>
    <col min="4" max="5" width="18.109375" style="979" customWidth="1"/>
    <col min="6" max="6" width="18.109375" style="981" customWidth="1"/>
    <col min="7" max="7" width="4" style="981" customWidth="1"/>
    <col min="8" max="9" width="8.88671875" style="933"/>
    <col min="10" max="10" width="10.21875" style="933" bestFit="1" customWidth="1"/>
    <col min="11" max="11" width="11.6640625" style="933" bestFit="1" customWidth="1"/>
    <col min="12" max="12" width="13" style="933" bestFit="1" customWidth="1"/>
    <col min="13" max="13" width="25" style="933" bestFit="1" customWidth="1"/>
    <col min="14" max="14" width="8.109375" style="933" bestFit="1" customWidth="1"/>
    <col min="15" max="15" width="9.33203125" style="933" bestFit="1" customWidth="1"/>
    <col min="16" max="16" width="25" style="933" bestFit="1" customWidth="1"/>
    <col min="17" max="16384" width="8.88671875" style="933"/>
  </cols>
  <sheetData>
    <row r="1" spans="1:16" s="926" customFormat="1" ht="21" customHeight="1" thickBot="1">
      <c r="A1" s="1199" t="str">
        <f>"[ 표 : "&amp;H1&amp;" ] "</f>
        <v xml:space="preserve">[ 표 : 36 ] </v>
      </c>
      <c r="B1" s="923"/>
      <c r="C1" s="923"/>
      <c r="D1" s="923"/>
      <c r="E1" s="924"/>
      <c r="F1" s="925"/>
      <c r="G1" s="925"/>
      <c r="H1" s="933">
        <f>'변동)보안관리비'!K1+1</f>
        <v>36</v>
      </c>
      <c r="I1" s="1584" t="s">
        <v>1093</v>
      </c>
      <c r="J1" s="1585"/>
      <c r="K1" s="927" t="s">
        <v>1094</v>
      </c>
      <c r="L1" s="928" t="s">
        <v>1095</v>
      </c>
      <c r="M1" s="929" t="s">
        <v>899</v>
      </c>
    </row>
    <row r="2" spans="1:16" s="926" customFormat="1" ht="32.25" thickTop="1">
      <c r="A2" s="1586" t="s">
        <v>1096</v>
      </c>
      <c r="B2" s="1586"/>
      <c r="C2" s="1586"/>
      <c r="D2" s="1586"/>
      <c r="E2" s="1586"/>
      <c r="F2" s="1586"/>
      <c r="G2" s="1096"/>
      <c r="I2" s="1587">
        <v>3</v>
      </c>
      <c r="J2" s="1588"/>
      <c r="K2" s="930">
        <f>감가상각비!O9</f>
        <v>7944145</v>
      </c>
      <c r="L2" s="931">
        <f>K2/I2</f>
        <v>2648048.3333333335</v>
      </c>
      <c r="M2" s="932"/>
    </row>
    <row r="3" spans="1:16" s="926" customFormat="1" ht="31.5">
      <c r="A3" s="1586"/>
      <c r="B3" s="1586"/>
      <c r="C3" s="1586"/>
      <c r="D3" s="1586"/>
      <c r="E3" s="1586"/>
      <c r="F3" s="1586"/>
      <c r="G3" s="1096"/>
    </row>
    <row r="4" spans="1:16" ht="26.25" thickBot="1">
      <c r="A4" s="1001"/>
      <c r="B4" s="1001"/>
      <c r="C4" s="1001"/>
      <c r="D4" s="1001"/>
      <c r="E4" s="1001"/>
      <c r="F4" s="1001"/>
      <c r="G4" s="1001"/>
      <c r="I4" s="934" t="s">
        <v>1097</v>
      </c>
      <c r="J4" s="927" t="s">
        <v>1098</v>
      </c>
      <c r="K4" s="935" t="s">
        <v>1099</v>
      </c>
      <c r="L4" s="927" t="s">
        <v>1100</v>
      </c>
      <c r="M4" s="936" t="s">
        <v>97</v>
      </c>
    </row>
    <row r="5" spans="1:16" s="937" customFormat="1" ht="14.25" thickTop="1">
      <c r="A5" s="1002" t="s">
        <v>1101</v>
      </c>
      <c r="B5" s="1003"/>
      <c r="C5" s="1003"/>
      <c r="D5" s="1003"/>
      <c r="E5" s="1003"/>
      <c r="F5" s="1004" t="s">
        <v>1130</v>
      </c>
      <c r="G5" s="1004"/>
      <c r="I5" s="938" t="s">
        <v>1102</v>
      </c>
      <c r="J5" s="939">
        <v>18790975</v>
      </c>
      <c r="K5" s="940">
        <v>6</v>
      </c>
      <c r="L5" s="941">
        <f>ROUND(J5/K5,0)</f>
        <v>3131829</v>
      </c>
      <c r="M5" s="942" t="s">
        <v>1103</v>
      </c>
    </row>
    <row r="6" spans="1:16">
      <c r="A6" s="1005" t="s">
        <v>346</v>
      </c>
      <c r="B6" s="1005" t="s">
        <v>1104</v>
      </c>
      <c r="C6" s="1005" t="s">
        <v>1105</v>
      </c>
      <c r="D6" s="1005" t="s">
        <v>1106</v>
      </c>
      <c r="E6" s="1005" t="s">
        <v>1107</v>
      </c>
      <c r="F6" s="1005" t="s">
        <v>97</v>
      </c>
      <c r="G6" s="1200"/>
      <c r="I6" s="943" t="s">
        <v>1108</v>
      </c>
      <c r="J6" s="944">
        <v>87125183</v>
      </c>
      <c r="K6" s="945">
        <v>6</v>
      </c>
      <c r="L6" s="946">
        <f>ROUND(J6/K6,0)</f>
        <v>14520864</v>
      </c>
      <c r="M6" s="947" t="s">
        <v>1109</v>
      </c>
    </row>
    <row r="7" spans="1:16" s="948" customFormat="1">
      <c r="A7" s="1000" t="s">
        <v>1110</v>
      </c>
      <c r="B7" s="1000" t="s">
        <v>1132</v>
      </c>
      <c r="C7" s="1006">
        <v>1</v>
      </c>
      <c r="D7" s="1007">
        <f>K10</f>
        <v>8398637.1016000006</v>
      </c>
      <c r="E7" s="1008">
        <f>C7*D7</f>
        <v>8398637.1016000006</v>
      </c>
      <c r="F7" s="1000" t="s">
        <v>1131</v>
      </c>
      <c r="G7" s="1201"/>
      <c r="I7" s="949" t="s">
        <v>1111</v>
      </c>
      <c r="J7" s="950">
        <v>143411811</v>
      </c>
      <c r="K7" s="951">
        <v>6</v>
      </c>
      <c r="L7" s="952">
        <f>ROUND(J7/K7,0)</f>
        <v>23901969</v>
      </c>
      <c r="M7" s="953" t="s">
        <v>1112</v>
      </c>
    </row>
    <row r="8" spans="1:16" s="948" customFormat="1">
      <c r="A8" s="1000" t="s">
        <v>1113</v>
      </c>
      <c r="B8" s="1000" t="s">
        <v>1132</v>
      </c>
      <c r="C8" s="1006">
        <v>1</v>
      </c>
      <c r="D8" s="1007">
        <f>K2</f>
        <v>7944145</v>
      </c>
      <c r="E8" s="1008">
        <f>C8*D8</f>
        <v>7944145</v>
      </c>
      <c r="F8" s="1000" t="s">
        <v>1221</v>
      </c>
      <c r="G8" s="1201"/>
      <c r="I8" s="1589" t="s">
        <v>546</v>
      </c>
      <c r="J8" s="1590"/>
      <c r="K8" s="1591"/>
      <c r="L8" s="955">
        <f>SUM(L5:L7)-2</f>
        <v>41554660</v>
      </c>
      <c r="M8" s="956"/>
    </row>
    <row r="9" spans="1:16" s="948" customFormat="1">
      <c r="A9" s="1009" t="s">
        <v>502</v>
      </c>
      <c r="B9" s="1009" t="s">
        <v>1132</v>
      </c>
      <c r="C9" s="1010">
        <v>34200</v>
      </c>
      <c r="D9" s="1011">
        <f>'변동)차량유지비'!G10</f>
        <v>1400</v>
      </c>
      <c r="E9" s="1008">
        <f>C9*D9</f>
        <v>47880000</v>
      </c>
      <c r="F9" s="1012" t="s">
        <v>1228</v>
      </c>
      <c r="G9" s="1202"/>
      <c r="I9" s="957" t="s">
        <v>1093</v>
      </c>
      <c r="J9" s="954"/>
      <c r="K9" s="956" t="s">
        <v>1114</v>
      </c>
      <c r="L9" s="954"/>
      <c r="M9" s="958" t="s">
        <v>1115</v>
      </c>
      <c r="N9" s="959"/>
      <c r="O9" s="960" t="s">
        <v>899</v>
      </c>
      <c r="P9" s="961"/>
    </row>
    <row r="10" spans="1:16" s="948" customFormat="1">
      <c r="A10" s="1000" t="s">
        <v>1116</v>
      </c>
      <c r="B10" s="1089" t="s">
        <v>1132</v>
      </c>
      <c r="C10" s="1090">
        <v>1</v>
      </c>
      <c r="D10" s="1091">
        <f>L15</f>
        <v>110000</v>
      </c>
      <c r="E10" s="1092">
        <f>C10*D10</f>
        <v>110000</v>
      </c>
      <c r="F10" s="1000" t="s">
        <v>1131</v>
      </c>
      <c r="G10" s="1201"/>
      <c r="I10" s="962">
        <v>3</v>
      </c>
      <c r="J10" s="963"/>
      <c r="K10" s="964" cm="1">
        <f t="array" ref="K10:L10">'수집운반_세금과공과 '!C6:D6</f>
        <v>8398637.1016000006</v>
      </c>
      <c r="L10" s="965">
        <v>0</v>
      </c>
      <c r="M10" s="966">
        <v>2799546</v>
      </c>
      <c r="N10" s="967"/>
      <c r="O10" s="968"/>
      <c r="P10" s="969"/>
    </row>
    <row r="11" spans="1:16" s="948" customFormat="1" ht="18" customHeight="1" thickBot="1">
      <c r="A11" s="1122" t="s">
        <v>1256</v>
      </c>
      <c r="B11" s="1123" t="s">
        <v>1224</v>
      </c>
      <c r="C11" s="1127">
        <v>1</v>
      </c>
      <c r="D11" s="1125">
        <f>기타경비!D6</f>
        <v>5371750</v>
      </c>
      <c r="E11" s="1126">
        <f>C11*D11</f>
        <v>5371750</v>
      </c>
      <c r="F11" s="1124" t="s">
        <v>1273</v>
      </c>
      <c r="G11" s="1203"/>
      <c r="I11" s="934" t="s">
        <v>1117</v>
      </c>
      <c r="J11" s="927" t="s">
        <v>1118</v>
      </c>
      <c r="K11" s="935" t="s">
        <v>1119</v>
      </c>
      <c r="L11" s="935" t="s">
        <v>1120</v>
      </c>
      <c r="M11" s="970" t="s">
        <v>1121</v>
      </c>
      <c r="N11" s="971" t="s">
        <v>1122</v>
      </c>
      <c r="O11" s="927" t="s">
        <v>1123</v>
      </c>
      <c r="P11" s="929" t="s">
        <v>899</v>
      </c>
    </row>
    <row r="12" spans="1:16" ht="14.25" thickTop="1">
      <c r="A12" s="1013" t="s">
        <v>1124</v>
      </c>
      <c r="B12" s="1093"/>
      <c r="C12" s="1093"/>
      <c r="D12" s="1094"/>
      <c r="E12" s="1095">
        <f>SUM(E7:E11)</f>
        <v>69704532.101599991</v>
      </c>
      <c r="F12" s="1014"/>
      <c r="G12" s="1204"/>
      <c r="I12" s="938" t="s">
        <v>1102</v>
      </c>
      <c r="J12" s="972">
        <v>27070</v>
      </c>
      <c r="K12" s="972">
        <v>3130050</v>
      </c>
      <c r="L12" s="972">
        <v>23000</v>
      </c>
      <c r="M12" s="972">
        <v>34000</v>
      </c>
      <c r="N12" s="972">
        <v>42899.22</v>
      </c>
      <c r="O12" s="973">
        <v>3257019.22</v>
      </c>
      <c r="P12" s="942" t="s">
        <v>1125</v>
      </c>
    </row>
    <row r="13" spans="1:16" s="974" customFormat="1">
      <c r="A13" s="1013" t="s">
        <v>1188</v>
      </c>
      <c r="B13" s="1016"/>
      <c r="C13" s="1016"/>
      <c r="D13" s="1016"/>
      <c r="E13" s="1017">
        <f>E12/12</f>
        <v>5808711.0084666656</v>
      </c>
      <c r="F13" s="309" t="s">
        <v>309</v>
      </c>
      <c r="G13" s="1205"/>
      <c r="I13" s="943" t="s">
        <v>1126</v>
      </c>
      <c r="J13" s="975">
        <v>65250</v>
      </c>
      <c r="K13" s="975">
        <v>1773800</v>
      </c>
      <c r="L13" s="975">
        <v>29000</v>
      </c>
      <c r="M13" s="975">
        <v>0</v>
      </c>
      <c r="N13" s="975">
        <v>113253.94080000001</v>
      </c>
      <c r="O13" s="976">
        <v>1981303.9408</v>
      </c>
      <c r="P13" s="947" t="s">
        <v>1127</v>
      </c>
    </row>
    <row r="14" spans="1:16">
      <c r="A14" s="1015" t="s">
        <v>1359</v>
      </c>
      <c r="B14" s="974"/>
      <c r="C14" s="974"/>
      <c r="D14" s="974"/>
      <c r="E14" s="974"/>
      <c r="F14" s="974"/>
      <c r="G14" s="974"/>
      <c r="I14" s="949" t="s">
        <v>1128</v>
      </c>
      <c r="J14" s="977">
        <v>78750</v>
      </c>
      <c r="K14" s="977">
        <v>2910310</v>
      </c>
      <c r="L14" s="977">
        <v>58000</v>
      </c>
      <c r="M14" s="977">
        <v>0</v>
      </c>
      <c r="N14" s="977">
        <v>113253.94080000001</v>
      </c>
      <c r="O14" s="978">
        <v>3160313.9408</v>
      </c>
      <c r="P14" s="953" t="s">
        <v>1129</v>
      </c>
    </row>
    <row r="15" spans="1:16">
      <c r="E15" s="980"/>
      <c r="I15" s="982" t="s">
        <v>1123</v>
      </c>
      <c r="J15" s="983">
        <v>171070</v>
      </c>
      <c r="K15" s="983">
        <v>7814160</v>
      </c>
      <c r="L15" s="983">
        <v>110000</v>
      </c>
      <c r="M15" s="983">
        <v>34000</v>
      </c>
      <c r="N15" s="983">
        <v>269407.10160000005</v>
      </c>
      <c r="O15" s="955">
        <v>8398637.1016000006</v>
      </c>
      <c r="P15" s="984"/>
    </row>
    <row r="16" spans="1:16" s="979" customFormat="1">
      <c r="F16" s="981"/>
      <c r="G16" s="981"/>
    </row>
    <row r="17" spans="5:7" s="979" customFormat="1">
      <c r="F17" s="981"/>
      <c r="G17" s="981"/>
    </row>
    <row r="18" spans="5:7">
      <c r="E18" s="933"/>
    </row>
  </sheetData>
  <mergeCells count="4">
    <mergeCell ref="I1:J1"/>
    <mergeCell ref="A2:F3"/>
    <mergeCell ref="I2:J2"/>
    <mergeCell ref="I8:K8"/>
  </mergeCells>
  <phoneticPr fontId="3" type="noConversion"/>
  <pageMargins left="0.7" right="0.7" top="0.75" bottom="0.75" header="0.3" footer="0.3"/>
  <pageSetup paperSize="9" scale="7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view="pageBreakPreview" zoomScaleNormal="100" zoomScaleSheetLayoutView="100" workbookViewId="0">
      <selection activeCell="A12" sqref="A12"/>
    </sheetView>
  </sheetViews>
  <sheetFormatPr defaultRowHeight="16.5"/>
  <cols>
    <col min="1" max="1" width="8.77734375" style="1102" customWidth="1"/>
    <col min="2" max="7" width="10.109375" style="1102" customWidth="1"/>
    <col min="8" max="8" width="23.33203125" style="1102" customWidth="1"/>
    <col min="9" max="16384" width="8.88671875" style="1102"/>
  </cols>
  <sheetData>
    <row r="1" spans="1:13" ht="44.25" customHeight="1">
      <c r="A1" s="1101" t="s">
        <v>1110</v>
      </c>
      <c r="B1" s="1101"/>
      <c r="C1" s="1101"/>
      <c r="D1" s="1101"/>
      <c r="E1" s="1101"/>
      <c r="F1" s="1101"/>
    </row>
    <row r="2" spans="1:13">
      <c r="A2" s="1103"/>
      <c r="B2" s="1103"/>
      <c r="C2" s="1097"/>
      <c r="D2" s="1097"/>
      <c r="E2" s="1097"/>
      <c r="F2" s="1103"/>
    </row>
    <row r="3" spans="1:13">
      <c r="A3" s="923" t="s">
        <v>1354</v>
      </c>
      <c r="B3" s="1104"/>
      <c r="C3" s="1098"/>
      <c r="D3" s="1098"/>
      <c r="E3" s="1098"/>
      <c r="F3" s="1104"/>
    </row>
    <row r="4" spans="1:13">
      <c r="B4" s="1103"/>
      <c r="C4" s="1105"/>
      <c r="D4" s="1105"/>
      <c r="E4" s="1105"/>
      <c r="H4" s="1105" t="s">
        <v>1241</v>
      </c>
    </row>
    <row r="5" spans="1:13" ht="36.75" customHeight="1">
      <c r="A5" s="1592" t="s">
        <v>1242</v>
      </c>
      <c r="B5" s="1589"/>
      <c r="C5" s="1593" t="s">
        <v>1243</v>
      </c>
      <c r="D5" s="1589"/>
      <c r="E5" s="1594" t="s">
        <v>1244</v>
      </c>
      <c r="F5" s="1595"/>
      <c r="G5" s="1596" t="s">
        <v>97</v>
      </c>
      <c r="H5" s="1597"/>
    </row>
    <row r="6" spans="1:13" ht="36.75" customHeight="1">
      <c r="A6" s="1598">
        <v>3</v>
      </c>
      <c r="B6" s="1599"/>
      <c r="C6" s="1600">
        <f>G17</f>
        <v>8398637.1016000006</v>
      </c>
      <c r="D6" s="1601"/>
      <c r="E6" s="1602">
        <f>ROUND(C6/A6,0)</f>
        <v>2799546</v>
      </c>
      <c r="F6" s="1603"/>
      <c r="G6" s="1604"/>
      <c r="H6" s="1605"/>
    </row>
    <row r="8" spans="1:13">
      <c r="A8" s="1104" t="s">
        <v>1245</v>
      </c>
    </row>
    <row r="9" spans="1:13">
      <c r="A9" s="1104"/>
    </row>
    <row r="10" spans="1:13">
      <c r="A10" s="1104"/>
    </row>
    <row r="11" spans="1:13">
      <c r="A11" s="923" t="s">
        <v>1355</v>
      </c>
    </row>
    <row r="12" spans="1:13">
      <c r="G12" s="1106"/>
      <c r="H12" s="1105" t="s">
        <v>1246</v>
      </c>
    </row>
    <row r="13" spans="1:13" ht="39.75" customHeight="1" thickBot="1">
      <c r="A13" s="934" t="s">
        <v>1097</v>
      </c>
      <c r="B13" s="927" t="s">
        <v>1247</v>
      </c>
      <c r="C13" s="935" t="s">
        <v>1248</v>
      </c>
      <c r="D13" s="935" t="s">
        <v>1249</v>
      </c>
      <c r="E13" s="970" t="s">
        <v>1250</v>
      </c>
      <c r="F13" s="971" t="s">
        <v>1251</v>
      </c>
      <c r="G13" s="927" t="s">
        <v>546</v>
      </c>
      <c r="H13" s="929" t="s">
        <v>97</v>
      </c>
    </row>
    <row r="14" spans="1:13" ht="39.75" customHeight="1" thickTop="1">
      <c r="A14" s="938" t="s">
        <v>1252</v>
      </c>
      <c r="B14" s="972">
        <v>27070</v>
      </c>
      <c r="C14" s="972">
        <v>3130050</v>
      </c>
      <c r="D14" s="972">
        <v>23000</v>
      </c>
      <c r="E14" s="972">
        <v>34000</v>
      </c>
      <c r="F14" s="972">
        <v>42899.22</v>
      </c>
      <c r="G14" s="973">
        <f>SUM(B14:F14)</f>
        <v>3257019.22</v>
      </c>
      <c r="H14" s="942" t="s">
        <v>1103</v>
      </c>
      <c r="J14" s="1103"/>
      <c r="K14" s="1103"/>
      <c r="L14" s="1103"/>
      <c r="M14" s="1103"/>
    </row>
    <row r="15" spans="1:13" ht="39.75" customHeight="1">
      <c r="A15" s="943" t="s">
        <v>1108</v>
      </c>
      <c r="B15" s="975">
        <v>65250</v>
      </c>
      <c r="C15" s="975">
        <v>1773800</v>
      </c>
      <c r="D15" s="975">
        <v>29000</v>
      </c>
      <c r="E15" s="975">
        <v>0</v>
      </c>
      <c r="F15" s="975">
        <v>113253.94080000001</v>
      </c>
      <c r="G15" s="976">
        <f>SUM(B15:F15)</f>
        <v>1981303.9408</v>
      </c>
      <c r="H15" s="947" t="s">
        <v>1109</v>
      </c>
      <c r="J15" s="1103"/>
      <c r="K15" s="1103"/>
      <c r="L15" s="1103"/>
      <c r="M15" s="1103"/>
    </row>
    <row r="16" spans="1:13" ht="39.75" customHeight="1">
      <c r="A16" s="949" t="s">
        <v>1111</v>
      </c>
      <c r="B16" s="977">
        <v>78750</v>
      </c>
      <c r="C16" s="977">
        <v>2910310</v>
      </c>
      <c r="D16" s="977">
        <v>58000</v>
      </c>
      <c r="E16" s="977">
        <v>0</v>
      </c>
      <c r="F16" s="977">
        <v>113253.94080000001</v>
      </c>
      <c r="G16" s="978">
        <f>SUM(B16:F16)</f>
        <v>3160313.9408</v>
      </c>
      <c r="H16" s="953" t="s">
        <v>1112</v>
      </c>
      <c r="J16" s="1103"/>
      <c r="K16" s="1103"/>
      <c r="L16" s="1103"/>
      <c r="M16" s="1103"/>
    </row>
    <row r="17" spans="1:8" ht="39.75" customHeight="1">
      <c r="A17" s="982" t="s">
        <v>546</v>
      </c>
      <c r="B17" s="983">
        <f>SUM(B14:B16)</f>
        <v>171070</v>
      </c>
      <c r="C17" s="983">
        <f t="shared" ref="C17:F17" si="0">SUM(C14:C16)</f>
        <v>7814160</v>
      </c>
      <c r="D17" s="983">
        <f t="shared" si="0"/>
        <v>110000</v>
      </c>
      <c r="E17" s="983">
        <f t="shared" si="0"/>
        <v>34000</v>
      </c>
      <c r="F17" s="983">
        <f t="shared" si="0"/>
        <v>269407.10160000005</v>
      </c>
      <c r="G17" s="955">
        <f>SUM(B17:F17)</f>
        <v>8398637.1016000006</v>
      </c>
      <c r="H17" s="984"/>
    </row>
    <row r="18" spans="1:8">
      <c r="A18" s="1099"/>
      <c r="B18" s="1099"/>
      <c r="C18" s="1099"/>
      <c r="D18" s="1099"/>
      <c r="E18" s="1099"/>
      <c r="F18" s="1099"/>
    </row>
    <row r="19" spans="1:8">
      <c r="A19" s="1100" t="s">
        <v>1253</v>
      </c>
    </row>
  </sheetData>
  <mergeCells count="8">
    <mergeCell ref="A5:B5"/>
    <mergeCell ref="C5:D5"/>
    <mergeCell ref="E5:F5"/>
    <mergeCell ref="G5:H5"/>
    <mergeCell ref="A6:B6"/>
    <mergeCell ref="C6:D6"/>
    <mergeCell ref="E6:F6"/>
    <mergeCell ref="G6:H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&amp;C- &amp;P -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view="pageBreakPreview" topLeftCell="A5" zoomScaleNormal="100" zoomScaleSheetLayoutView="100" workbookViewId="0">
      <selection activeCell="A4" sqref="A4"/>
    </sheetView>
  </sheetViews>
  <sheetFormatPr defaultRowHeight="16.5"/>
  <cols>
    <col min="1" max="1" width="15.88671875" style="1102" customWidth="1"/>
    <col min="2" max="6" width="10.77734375" style="1102" customWidth="1"/>
    <col min="7" max="16384" width="8.88671875" style="1102"/>
  </cols>
  <sheetData>
    <row r="1" spans="1:6" ht="44.25" customHeight="1">
      <c r="A1" s="1101" t="s">
        <v>1256</v>
      </c>
      <c r="B1" s="1101"/>
      <c r="C1" s="1101"/>
    </row>
    <row r="2" spans="1:6">
      <c r="A2" s="1103"/>
      <c r="B2" s="1103"/>
      <c r="C2" s="1097"/>
    </row>
    <row r="3" spans="1:6">
      <c r="A3" s="923" t="s">
        <v>1353</v>
      </c>
      <c r="B3" s="1104"/>
      <c r="C3" s="1098"/>
    </row>
    <row r="4" spans="1:6">
      <c r="B4" s="1103"/>
      <c r="C4" s="1105"/>
      <c r="F4" s="1105" t="s">
        <v>1254</v>
      </c>
    </row>
    <row r="5" spans="1:6" ht="31.5" customHeight="1" thickBot="1">
      <c r="A5" s="934" t="s">
        <v>1255</v>
      </c>
      <c r="B5" s="1608" t="s">
        <v>246</v>
      </c>
      <c r="C5" s="1585"/>
      <c r="D5" s="1609" t="s">
        <v>1256</v>
      </c>
      <c r="E5" s="1610"/>
      <c r="F5" s="929" t="s">
        <v>97</v>
      </c>
    </row>
    <row r="6" spans="1:6" ht="31.5" customHeight="1" thickTop="1">
      <c r="A6" s="1107">
        <f>(인건비집계!T23+인건비집계!T24)*12</f>
        <v>111678792</v>
      </c>
      <c r="B6" s="1611">
        <f>F22</f>
        <v>4.8100000000000004E-2</v>
      </c>
      <c r="C6" s="1612"/>
      <c r="D6" s="1613">
        <f>ROUND(A6*B6,0)</f>
        <v>5371750</v>
      </c>
      <c r="E6" s="1614"/>
      <c r="F6" s="1108"/>
    </row>
    <row r="8" spans="1:6">
      <c r="A8" s="1104" t="s">
        <v>1257</v>
      </c>
    </row>
    <row r="9" spans="1:6">
      <c r="A9" s="1104"/>
    </row>
    <row r="10" spans="1:6">
      <c r="A10" s="923" t="s">
        <v>1258</v>
      </c>
    </row>
    <row r="11" spans="1:6">
      <c r="F11" s="1103"/>
    </row>
    <row r="12" spans="1:6" ht="20.25" customHeight="1">
      <c r="A12" s="1615" t="s">
        <v>346</v>
      </c>
      <c r="B12" s="1617" t="s">
        <v>1259</v>
      </c>
      <c r="C12" s="1618"/>
      <c r="D12" s="1619"/>
      <c r="E12" s="1620" t="s">
        <v>546</v>
      </c>
      <c r="F12" s="1606" t="s">
        <v>1260</v>
      </c>
    </row>
    <row r="13" spans="1:6" ht="31.5" customHeight="1" thickBot="1">
      <c r="A13" s="1616"/>
      <c r="B13" s="1109" t="s">
        <v>1261</v>
      </c>
      <c r="C13" s="1109" t="s">
        <v>1262</v>
      </c>
      <c r="D13" s="1109" t="s">
        <v>1263</v>
      </c>
      <c r="E13" s="1621"/>
      <c r="F13" s="1607"/>
    </row>
    <row r="14" spans="1:6" ht="31.5" customHeight="1" thickTop="1">
      <c r="A14" s="1110" t="s">
        <v>1264</v>
      </c>
      <c r="B14" s="1111">
        <v>8.9999999999999998E-4</v>
      </c>
      <c r="C14" s="1111">
        <v>1.49E-3</v>
      </c>
      <c r="D14" s="1111">
        <v>2.0500000000000002E-3</v>
      </c>
      <c r="E14" s="1112">
        <f>SUM(B14:D14)</f>
        <v>4.4399999999999995E-3</v>
      </c>
      <c r="F14" s="1113" t="s">
        <v>1265</v>
      </c>
    </row>
    <row r="15" spans="1:6" ht="31.5" customHeight="1">
      <c r="A15" s="943" t="s">
        <v>1266</v>
      </c>
      <c r="B15" s="1114">
        <v>1.193E-2</v>
      </c>
      <c r="C15" s="1114">
        <v>1.8400000000000001E-3</v>
      </c>
      <c r="D15" s="1114">
        <v>1.66E-3</v>
      </c>
      <c r="E15" s="1114">
        <f>SUM(B15:D15)</f>
        <v>1.5429999999999999E-2</v>
      </c>
      <c r="F15" s="1115" t="s">
        <v>1265</v>
      </c>
    </row>
    <row r="16" spans="1:6" ht="31.5" customHeight="1">
      <c r="A16" s="1116" t="s">
        <v>1267</v>
      </c>
      <c r="B16" s="1114">
        <v>2.4559999999999998E-2</v>
      </c>
      <c r="C16" s="1114">
        <v>1.6420000000000001E-2</v>
      </c>
      <c r="D16" s="1114">
        <v>1.9140000000000001E-2</v>
      </c>
      <c r="E16" s="1114">
        <f t="shared" ref="E16:E21" si="0">SUM(B16:D16)</f>
        <v>6.0120000000000007E-2</v>
      </c>
      <c r="F16" s="1115" t="s">
        <v>1265</v>
      </c>
    </row>
    <row r="17" spans="1:7" ht="31.5" customHeight="1">
      <c r="A17" s="1116" t="s">
        <v>1268</v>
      </c>
      <c r="B17" s="1117">
        <v>1.932E-2</v>
      </c>
      <c r="C17" s="1114">
        <v>1.54E-2</v>
      </c>
      <c r="D17" s="1114">
        <v>1.8159999999999999E-2</v>
      </c>
      <c r="E17" s="1114">
        <f t="shared" si="0"/>
        <v>5.2879999999999996E-2</v>
      </c>
      <c r="F17" s="1115">
        <f>ROUND(E17/3,5)</f>
        <v>1.763E-2</v>
      </c>
    </row>
    <row r="18" spans="1:7" ht="31.5" customHeight="1">
      <c r="A18" s="1116" t="s">
        <v>1269</v>
      </c>
      <c r="B18" s="1114">
        <v>3.6900000000000001E-3</v>
      </c>
      <c r="C18" s="1114">
        <v>4.1599999999999996E-3</v>
      </c>
      <c r="D18" s="1114">
        <v>3.532E-3</v>
      </c>
      <c r="E18" s="1114">
        <f t="shared" si="0"/>
        <v>1.1382E-2</v>
      </c>
      <c r="F18" s="1115">
        <f t="shared" ref="F18:F21" si="1">ROUND(E18/3,5)</f>
        <v>3.79E-3</v>
      </c>
    </row>
    <row r="19" spans="1:7" ht="31.5" customHeight="1">
      <c r="A19" s="1116" t="s">
        <v>1110</v>
      </c>
      <c r="B19" s="1114">
        <v>2.3400000000000001E-3</v>
      </c>
      <c r="C19" s="1114">
        <v>6.7400000000000003E-3</v>
      </c>
      <c r="D19" s="1114">
        <v>6.2599999999999999E-3</v>
      </c>
      <c r="E19" s="1114">
        <f t="shared" si="0"/>
        <v>1.5340000000000001E-2</v>
      </c>
      <c r="F19" s="1115" t="s">
        <v>1265</v>
      </c>
      <c r="G19" s="1118"/>
    </row>
    <row r="20" spans="1:7" ht="31.5" customHeight="1">
      <c r="A20" s="1116" t="s">
        <v>1270</v>
      </c>
      <c r="B20" s="1114">
        <v>4.0000000000000002E-4</v>
      </c>
      <c r="C20" s="1114">
        <v>6.4999999999999997E-4</v>
      </c>
      <c r="D20" s="1114">
        <v>5.5000000000000003E-4</v>
      </c>
      <c r="E20" s="1114">
        <f t="shared" si="0"/>
        <v>1.5999999999999999E-3</v>
      </c>
      <c r="F20" s="1115">
        <f t="shared" si="1"/>
        <v>5.2999999999999998E-4</v>
      </c>
    </row>
    <row r="21" spans="1:7" ht="31.5" customHeight="1">
      <c r="A21" s="949" t="s">
        <v>1271</v>
      </c>
      <c r="B21" s="1119">
        <v>3.04E-2</v>
      </c>
      <c r="C21" s="1119">
        <v>2.247E-2</v>
      </c>
      <c r="D21" s="1119">
        <v>2.5569999999999999E-2</v>
      </c>
      <c r="E21" s="1119">
        <f t="shared" si="0"/>
        <v>7.8439999999999996E-2</v>
      </c>
      <c r="F21" s="1115">
        <f t="shared" si="1"/>
        <v>2.615E-2</v>
      </c>
    </row>
    <row r="22" spans="1:7" ht="31.5" customHeight="1">
      <c r="A22" s="1589" t="s">
        <v>546</v>
      </c>
      <c r="B22" s="1590"/>
      <c r="C22" s="1590"/>
      <c r="D22" s="1590"/>
      <c r="E22" s="1591"/>
      <c r="F22" s="1120">
        <f>SUM(F14:F21)</f>
        <v>4.8100000000000004E-2</v>
      </c>
    </row>
    <row r="24" spans="1:7">
      <c r="A24" s="1100" t="s">
        <v>1272</v>
      </c>
    </row>
    <row r="25" spans="1:7">
      <c r="A25" s="1121"/>
    </row>
  </sheetData>
  <mergeCells count="9">
    <mergeCell ref="F12:F13"/>
    <mergeCell ref="A22:E22"/>
    <mergeCell ref="B5:C5"/>
    <mergeCell ref="D5:E5"/>
    <mergeCell ref="B6:C6"/>
    <mergeCell ref="D6:E6"/>
    <mergeCell ref="A12:A13"/>
    <mergeCell ref="B12:D12"/>
    <mergeCell ref="E12:E1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&amp;C- &amp;P -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2"/>
  <sheetViews>
    <sheetView showGridLines="0" view="pageBreakPreview" zoomScaleNormal="100" zoomScaleSheetLayoutView="100" workbookViewId="0">
      <selection activeCell="A11" sqref="A11"/>
    </sheetView>
  </sheetViews>
  <sheetFormatPr defaultColWidth="1.21875" defaultRowHeight="13.5"/>
  <cols>
    <col min="1" max="3" width="1.5546875" style="986" customWidth="1"/>
    <col min="4" max="4" width="2.88671875" style="986" customWidth="1"/>
    <col min="5" max="51" width="1.5546875" style="986" customWidth="1"/>
    <col min="52" max="52" width="3.33203125" style="986" customWidth="1"/>
    <col min="53" max="60" width="1.5546875" style="986" customWidth="1"/>
    <col min="61" max="63" width="1.21875" style="986"/>
    <col min="64" max="64" width="5.6640625" style="986" customWidth="1"/>
    <col min="65" max="65" width="13" style="999" customWidth="1"/>
    <col min="66" max="66" width="9" style="986" customWidth="1"/>
    <col min="67" max="129" width="5.21875" style="986" customWidth="1"/>
    <col min="130" max="16384" width="1.21875" style="986"/>
  </cols>
  <sheetData>
    <row r="1" spans="1:65" ht="25.5">
      <c r="A1" s="985" t="s">
        <v>1116</v>
      </c>
      <c r="B1" s="985"/>
      <c r="C1" s="985"/>
    </row>
    <row r="2" spans="1:65" ht="25.5">
      <c r="A2" s="985"/>
      <c r="B2" s="985"/>
      <c r="C2" s="985"/>
    </row>
    <row r="3" spans="1:65" ht="25.5">
      <c r="A3" s="987" t="s">
        <v>1351</v>
      </c>
      <c r="B3" s="985"/>
      <c r="C3" s="985"/>
      <c r="BM3" s="999" t="s">
        <v>564</v>
      </c>
    </row>
    <row r="4" spans="1:65" ht="25.5">
      <c r="A4" s="985"/>
      <c r="B4" s="985"/>
      <c r="C4" s="985"/>
      <c r="V4" s="988"/>
      <c r="BH4" s="989" t="s">
        <v>1134</v>
      </c>
      <c r="BM4" s="999">
        <v>434000</v>
      </c>
    </row>
    <row r="5" spans="1:65" ht="14.25" thickBot="1">
      <c r="A5" s="1622" t="s">
        <v>1135</v>
      </c>
      <c r="B5" s="1623"/>
      <c r="C5" s="1623"/>
      <c r="D5" s="1623"/>
      <c r="E5" s="1623"/>
      <c r="F5" s="1623"/>
      <c r="G5" s="1623"/>
      <c r="H5" s="1623"/>
      <c r="I5" s="1623"/>
      <c r="J5" s="1623"/>
      <c r="K5" s="1623"/>
      <c r="L5" s="1623"/>
      <c r="M5" s="1623"/>
      <c r="N5" s="1623"/>
      <c r="O5" s="1623"/>
      <c r="P5" s="1623"/>
      <c r="Q5" s="1623"/>
      <c r="R5" s="1623"/>
      <c r="S5" s="1623"/>
      <c r="T5" s="1623" t="s">
        <v>1136</v>
      </c>
      <c r="U5" s="1623"/>
      <c r="V5" s="1623"/>
      <c r="W5" s="1623"/>
      <c r="X5" s="1623"/>
      <c r="Y5" s="1623"/>
      <c r="Z5" s="1623"/>
      <c r="AA5" s="1623"/>
      <c r="AB5" s="1623"/>
      <c r="AC5" s="1623"/>
      <c r="AD5" s="1623"/>
      <c r="AE5" s="1623"/>
      <c r="AF5" s="1623"/>
      <c r="AG5" s="1623"/>
      <c r="AH5" s="1623"/>
      <c r="AI5" s="1623"/>
      <c r="AJ5" s="1623"/>
      <c r="AK5" s="1623" t="s">
        <v>1137</v>
      </c>
      <c r="AL5" s="1623"/>
      <c r="AM5" s="1623"/>
      <c r="AN5" s="1623"/>
      <c r="AO5" s="1623"/>
      <c r="AP5" s="1623"/>
      <c r="AQ5" s="1623"/>
      <c r="AR5" s="1623"/>
      <c r="AS5" s="1623"/>
      <c r="AT5" s="1623"/>
      <c r="AU5" s="1623"/>
      <c r="AV5" s="1623"/>
      <c r="AW5" s="1623"/>
      <c r="AX5" s="1623"/>
      <c r="AY5" s="1623"/>
      <c r="AZ5" s="1623"/>
      <c r="BA5" s="1623"/>
      <c r="BB5" s="1624" t="s">
        <v>1138</v>
      </c>
      <c r="BC5" s="1624"/>
      <c r="BD5" s="1624"/>
      <c r="BE5" s="1624"/>
      <c r="BF5" s="1624"/>
      <c r="BG5" s="1624"/>
      <c r="BH5" s="1625"/>
    </row>
    <row r="6" spans="1:65" ht="14.25" thickTop="1">
      <c r="A6" s="1626">
        <v>3</v>
      </c>
      <c r="B6" s="1627"/>
      <c r="C6" s="1627"/>
      <c r="D6" s="1627"/>
      <c r="E6" s="1627"/>
      <c r="F6" s="1627"/>
      <c r="G6" s="1627"/>
      <c r="H6" s="1627"/>
      <c r="I6" s="1627"/>
      <c r="J6" s="1627"/>
      <c r="K6" s="1627"/>
      <c r="L6" s="1627"/>
      <c r="M6" s="1627"/>
      <c r="N6" s="1627"/>
      <c r="O6" s="1627"/>
      <c r="P6" s="1627"/>
      <c r="Q6" s="1627"/>
      <c r="R6" s="1627"/>
      <c r="S6" s="1627"/>
      <c r="T6" s="1628">
        <f>BA16</f>
        <v>110000</v>
      </c>
      <c r="U6" s="1628"/>
      <c r="V6" s="1628"/>
      <c r="W6" s="1628"/>
      <c r="X6" s="1628"/>
      <c r="Y6" s="1628"/>
      <c r="Z6" s="1628"/>
      <c r="AA6" s="1628"/>
      <c r="AB6" s="1628"/>
      <c r="AC6" s="1628"/>
      <c r="AD6" s="1628"/>
      <c r="AE6" s="1628"/>
      <c r="AF6" s="1628"/>
      <c r="AG6" s="1628"/>
      <c r="AH6" s="1628"/>
      <c r="AI6" s="1628"/>
      <c r="AJ6" s="1628"/>
      <c r="AK6" s="1629">
        <f>T6/A6</f>
        <v>36666.666666666664</v>
      </c>
      <c r="AL6" s="1629"/>
      <c r="AM6" s="1629"/>
      <c r="AN6" s="1629"/>
      <c r="AO6" s="1629"/>
      <c r="AP6" s="1629"/>
      <c r="AQ6" s="1629"/>
      <c r="AR6" s="1629"/>
      <c r="AS6" s="1629"/>
      <c r="AT6" s="1629"/>
      <c r="AU6" s="1629"/>
      <c r="AV6" s="1629"/>
      <c r="AW6" s="1629"/>
      <c r="AX6" s="1629"/>
      <c r="AY6" s="1629"/>
      <c r="AZ6" s="1629"/>
      <c r="BA6" s="1629"/>
      <c r="BB6" s="1630"/>
      <c r="BC6" s="1630"/>
      <c r="BD6" s="1630"/>
      <c r="BE6" s="1630"/>
      <c r="BF6" s="1630"/>
      <c r="BG6" s="1630"/>
      <c r="BH6" s="1631"/>
    </row>
    <row r="7" spans="1:65" ht="25.5">
      <c r="A7" s="985"/>
      <c r="B7" s="985"/>
      <c r="C7" s="985"/>
    </row>
    <row r="8" spans="1:65" ht="25.5">
      <c r="A8" s="990" t="s">
        <v>1139</v>
      </c>
      <c r="B8" s="985"/>
      <c r="C8" s="985"/>
      <c r="BM8" s="999" t="s">
        <v>1177</v>
      </c>
    </row>
    <row r="9" spans="1:65">
      <c r="A9" s="988"/>
      <c r="B9" s="988"/>
      <c r="C9" s="991"/>
      <c r="BM9" s="999">
        <v>0</v>
      </c>
    </row>
    <row r="10" spans="1:65">
      <c r="A10" s="987" t="s">
        <v>1352</v>
      </c>
      <c r="C10" s="992"/>
    </row>
    <row r="12" spans="1:65" ht="25.5" customHeight="1" thickBot="1">
      <c r="A12" s="1635" t="s">
        <v>1140</v>
      </c>
      <c r="B12" s="1636"/>
      <c r="C12" s="1636"/>
      <c r="D12" s="1637"/>
      <c r="E12" s="1632" t="s">
        <v>1141</v>
      </c>
      <c r="F12" s="1636"/>
      <c r="G12" s="1636"/>
      <c r="H12" s="1638" t="s">
        <v>1142</v>
      </c>
      <c r="I12" s="1639"/>
      <c r="J12" s="1639"/>
      <c r="K12" s="1639"/>
      <c r="L12" s="1639"/>
      <c r="M12" s="1632" t="s">
        <v>1143</v>
      </c>
      <c r="N12" s="1633"/>
      <c r="O12" s="1633"/>
      <c r="P12" s="1633"/>
      <c r="Q12" s="1633"/>
      <c r="R12" s="1640"/>
      <c r="S12" s="1632" t="s">
        <v>1144</v>
      </c>
      <c r="T12" s="1633"/>
      <c r="U12" s="1633"/>
      <c r="V12" s="1633"/>
      <c r="W12" s="1633"/>
      <c r="X12" s="1638" t="s">
        <v>1145</v>
      </c>
      <c r="Y12" s="1639"/>
      <c r="Z12" s="1639"/>
      <c r="AA12" s="1639"/>
      <c r="AB12" s="1632" t="s">
        <v>1146</v>
      </c>
      <c r="AC12" s="1633"/>
      <c r="AD12" s="1633"/>
      <c r="AE12" s="1633"/>
      <c r="AF12" s="1633"/>
      <c r="AG12" s="1638" t="s">
        <v>1147</v>
      </c>
      <c r="AH12" s="1639"/>
      <c r="AI12" s="1639"/>
      <c r="AJ12" s="1638" t="s">
        <v>1148</v>
      </c>
      <c r="AK12" s="1639"/>
      <c r="AL12" s="1639"/>
      <c r="AM12" s="1639"/>
      <c r="AN12" s="1632" t="s">
        <v>1149</v>
      </c>
      <c r="AO12" s="1633"/>
      <c r="AP12" s="1633"/>
      <c r="AQ12" s="1633"/>
      <c r="AR12" s="1633"/>
      <c r="AS12" s="1633"/>
      <c r="AT12" s="1633"/>
      <c r="AU12" s="1633"/>
      <c r="AV12" s="1638" t="s">
        <v>1150</v>
      </c>
      <c r="AW12" s="1639"/>
      <c r="AX12" s="1639"/>
      <c r="AY12" s="1639"/>
      <c r="AZ12" s="1639"/>
      <c r="BA12" s="1632" t="s">
        <v>1151</v>
      </c>
      <c r="BB12" s="1633"/>
      <c r="BC12" s="1633"/>
      <c r="BD12" s="1633"/>
      <c r="BE12" s="1633"/>
      <c r="BF12" s="1633"/>
      <c r="BG12" s="1633"/>
      <c r="BH12" s="1634"/>
      <c r="BM12" s="999" t="s">
        <v>1178</v>
      </c>
    </row>
    <row r="13" spans="1:65" ht="33.75" customHeight="1" thickTop="1">
      <c r="A13" s="1644" t="s">
        <v>1152</v>
      </c>
      <c r="B13" s="1645"/>
      <c r="C13" s="1645"/>
      <c r="D13" s="1646"/>
      <c r="E13" s="1647" t="s">
        <v>1153</v>
      </c>
      <c r="F13" s="1645"/>
      <c r="G13" s="1646"/>
      <c r="H13" s="1648">
        <v>1067</v>
      </c>
      <c r="I13" s="1649"/>
      <c r="J13" s="1649"/>
      <c r="K13" s="1649"/>
      <c r="L13" s="1650"/>
      <c r="M13" s="1651">
        <v>21005000</v>
      </c>
      <c r="N13" s="1652"/>
      <c r="O13" s="1652"/>
      <c r="P13" s="1652"/>
      <c r="Q13" s="1652"/>
      <c r="R13" s="1653"/>
      <c r="S13" s="1651">
        <f>ROUND(H13*M13/10000000,0)</f>
        <v>2241</v>
      </c>
      <c r="T13" s="1652"/>
      <c r="U13" s="1652"/>
      <c r="V13" s="1652"/>
      <c r="W13" s="1652"/>
      <c r="X13" s="1654">
        <v>6.67</v>
      </c>
      <c r="Y13" s="1655"/>
      <c r="Z13" s="1655"/>
      <c r="AA13" s="1656"/>
      <c r="AB13" s="1657">
        <f>S13*X13</f>
        <v>14947.47</v>
      </c>
      <c r="AC13" s="1658"/>
      <c r="AD13" s="1658"/>
      <c r="AE13" s="1658"/>
      <c r="AF13" s="1659"/>
      <c r="AG13" s="1660">
        <v>279</v>
      </c>
      <c r="AH13" s="1642"/>
      <c r="AI13" s="1661"/>
      <c r="AJ13" s="1662">
        <v>0</v>
      </c>
      <c r="AK13" s="1645"/>
      <c r="AL13" s="1645"/>
      <c r="AM13" s="1646"/>
      <c r="AN13" s="1663">
        <f>ROUND(AB13*AG13*AJ13,0)</f>
        <v>0</v>
      </c>
      <c r="AO13" s="1663"/>
      <c r="AP13" s="1663"/>
      <c r="AQ13" s="1663"/>
      <c r="AR13" s="1663"/>
      <c r="AS13" s="1663"/>
      <c r="AT13" s="1663"/>
      <c r="AU13" s="1663"/>
      <c r="AV13" s="1664">
        <v>23000</v>
      </c>
      <c r="AW13" s="1665"/>
      <c r="AX13" s="1665"/>
      <c r="AY13" s="1665"/>
      <c r="AZ13" s="1666"/>
      <c r="BA13" s="1641">
        <f>AN13+AV13</f>
        <v>23000</v>
      </c>
      <c r="BB13" s="1642"/>
      <c r="BC13" s="1642"/>
      <c r="BD13" s="1642"/>
      <c r="BE13" s="1642"/>
      <c r="BF13" s="1642"/>
      <c r="BG13" s="1642"/>
      <c r="BH13" s="1643"/>
      <c r="BM13" s="999">
        <v>402160</v>
      </c>
    </row>
    <row r="14" spans="1:65" ht="33.75" customHeight="1">
      <c r="A14" s="1670" t="s">
        <v>1154</v>
      </c>
      <c r="B14" s="1671"/>
      <c r="C14" s="1671"/>
      <c r="D14" s="1672"/>
      <c r="E14" s="1673" t="s">
        <v>1155</v>
      </c>
      <c r="F14" s="1671"/>
      <c r="G14" s="1672"/>
      <c r="H14" s="1674">
        <v>1067</v>
      </c>
      <c r="I14" s="1675"/>
      <c r="J14" s="1675"/>
      <c r="K14" s="1675"/>
      <c r="L14" s="1676"/>
      <c r="M14" s="1677">
        <v>97058300</v>
      </c>
      <c r="N14" s="1678"/>
      <c r="O14" s="1678"/>
      <c r="P14" s="1678"/>
      <c r="Q14" s="1678"/>
      <c r="R14" s="1679"/>
      <c r="S14" s="1680">
        <f t="shared" ref="S14:S15" si="0">ROUND(H14*M14/10000000,0)</f>
        <v>10356</v>
      </c>
      <c r="T14" s="1681"/>
      <c r="U14" s="1681"/>
      <c r="V14" s="1681"/>
      <c r="W14" s="1681"/>
      <c r="X14" s="1682">
        <v>0.79</v>
      </c>
      <c r="Y14" s="1668"/>
      <c r="Z14" s="1668"/>
      <c r="AA14" s="1683"/>
      <c r="AB14" s="1684">
        <f>S14*X14</f>
        <v>8181.2400000000007</v>
      </c>
      <c r="AC14" s="1685"/>
      <c r="AD14" s="1685"/>
      <c r="AE14" s="1685"/>
      <c r="AF14" s="1686"/>
      <c r="AG14" s="1682">
        <v>188</v>
      </c>
      <c r="AH14" s="1668"/>
      <c r="AI14" s="1683"/>
      <c r="AJ14" s="1687">
        <v>0</v>
      </c>
      <c r="AK14" s="1671"/>
      <c r="AL14" s="1671"/>
      <c r="AM14" s="1672"/>
      <c r="AN14" s="1688">
        <f t="shared" ref="AN14:AN15" si="1">ROUND(AB14*AG14*AJ14,0)</f>
        <v>0</v>
      </c>
      <c r="AO14" s="1689"/>
      <c r="AP14" s="1689"/>
      <c r="AQ14" s="1689"/>
      <c r="AR14" s="1689"/>
      <c r="AS14" s="1689"/>
      <c r="AT14" s="1689"/>
      <c r="AU14" s="1690"/>
      <c r="AV14" s="1677">
        <v>29000</v>
      </c>
      <c r="AW14" s="1678"/>
      <c r="AX14" s="1678"/>
      <c r="AY14" s="1678"/>
      <c r="AZ14" s="1679"/>
      <c r="BA14" s="1667">
        <f>AN14+AV14</f>
        <v>29000</v>
      </c>
      <c r="BB14" s="1668"/>
      <c r="BC14" s="1668"/>
      <c r="BD14" s="1668"/>
      <c r="BE14" s="1668"/>
      <c r="BF14" s="1668"/>
      <c r="BG14" s="1668"/>
      <c r="BH14" s="1669"/>
    </row>
    <row r="15" spans="1:65" ht="33.75" customHeight="1">
      <c r="A15" s="1694" t="s">
        <v>1156</v>
      </c>
      <c r="B15" s="1695"/>
      <c r="C15" s="1695"/>
      <c r="D15" s="1696"/>
      <c r="E15" s="1697" t="s">
        <v>1157</v>
      </c>
      <c r="F15" s="1698"/>
      <c r="G15" s="1699"/>
      <c r="H15" s="1700">
        <v>1000</v>
      </c>
      <c r="I15" s="1701"/>
      <c r="J15" s="1701"/>
      <c r="K15" s="1701"/>
      <c r="L15" s="1701"/>
      <c r="M15" s="1702">
        <v>160400000</v>
      </c>
      <c r="N15" s="1703"/>
      <c r="O15" s="1703"/>
      <c r="P15" s="1703"/>
      <c r="Q15" s="1703"/>
      <c r="R15" s="1704"/>
      <c r="S15" s="1705">
        <f t="shared" si="0"/>
        <v>16040</v>
      </c>
      <c r="T15" s="1706"/>
      <c r="U15" s="1706"/>
      <c r="V15" s="1706"/>
      <c r="W15" s="1706"/>
      <c r="X15" s="1707">
        <v>4.1900000000000004</v>
      </c>
      <c r="Y15" s="1708"/>
      <c r="Z15" s="1708"/>
      <c r="AA15" s="1709"/>
      <c r="AB15" s="1710">
        <f>S15*X15</f>
        <v>67207.600000000006</v>
      </c>
      <c r="AC15" s="1711"/>
      <c r="AD15" s="1711"/>
      <c r="AE15" s="1711"/>
      <c r="AF15" s="1712"/>
      <c r="AG15" s="1707">
        <v>293</v>
      </c>
      <c r="AH15" s="1708"/>
      <c r="AI15" s="1709"/>
      <c r="AJ15" s="1713">
        <v>0</v>
      </c>
      <c r="AK15" s="1698"/>
      <c r="AL15" s="1698"/>
      <c r="AM15" s="1699"/>
      <c r="AN15" s="1714">
        <f t="shared" si="1"/>
        <v>0</v>
      </c>
      <c r="AO15" s="1715"/>
      <c r="AP15" s="1715"/>
      <c r="AQ15" s="1715"/>
      <c r="AR15" s="1715"/>
      <c r="AS15" s="1715"/>
      <c r="AT15" s="1715"/>
      <c r="AU15" s="1716"/>
      <c r="AV15" s="1663">
        <v>58000</v>
      </c>
      <c r="AW15" s="1663"/>
      <c r="AX15" s="1663"/>
      <c r="AY15" s="1663"/>
      <c r="AZ15" s="1663"/>
      <c r="BA15" s="1691">
        <f>AN15+AV15</f>
        <v>58000</v>
      </c>
      <c r="BB15" s="1692"/>
      <c r="BC15" s="1692"/>
      <c r="BD15" s="1692"/>
      <c r="BE15" s="1692"/>
      <c r="BF15" s="1692"/>
      <c r="BG15" s="1692"/>
      <c r="BH15" s="1693"/>
      <c r="BI15" s="994"/>
      <c r="BM15" s="999" t="s">
        <v>1179</v>
      </c>
    </row>
    <row r="16" spans="1:65" ht="33" customHeight="1">
      <c r="A16" s="1717" t="s">
        <v>546</v>
      </c>
      <c r="B16" s="1718"/>
      <c r="C16" s="1718"/>
      <c r="D16" s="1718"/>
      <c r="E16" s="1718"/>
      <c r="F16" s="1718"/>
      <c r="G16" s="1718"/>
      <c r="H16" s="1718"/>
      <c r="I16" s="1718"/>
      <c r="J16" s="1718"/>
      <c r="K16" s="1718"/>
      <c r="L16" s="1718"/>
      <c r="M16" s="1718"/>
      <c r="N16" s="1718"/>
      <c r="O16" s="1718"/>
      <c r="P16" s="1718"/>
      <c r="Q16" s="1718"/>
      <c r="R16" s="1718"/>
      <c r="S16" s="1718"/>
      <c r="T16" s="1718"/>
      <c r="U16" s="1718"/>
      <c r="V16" s="1718"/>
      <c r="W16" s="1718"/>
      <c r="X16" s="1718"/>
      <c r="Y16" s="1718"/>
      <c r="Z16" s="1718"/>
      <c r="AA16" s="1718"/>
      <c r="AB16" s="1718"/>
      <c r="AC16" s="1718"/>
      <c r="AD16" s="1718"/>
      <c r="AE16" s="1718"/>
      <c r="AF16" s="1718"/>
      <c r="AG16" s="1718"/>
      <c r="AH16" s="1718"/>
      <c r="AI16" s="1718"/>
      <c r="AJ16" s="1718"/>
      <c r="AK16" s="1718"/>
      <c r="AL16" s="1718"/>
      <c r="AM16" s="1719"/>
      <c r="AN16" s="1720">
        <f>SUM(AN13:AU15)</f>
        <v>0</v>
      </c>
      <c r="AO16" s="1721"/>
      <c r="AP16" s="1721"/>
      <c r="AQ16" s="1721"/>
      <c r="AR16" s="1721"/>
      <c r="AS16" s="1721"/>
      <c r="AT16" s="1721"/>
      <c r="AU16" s="1721"/>
      <c r="AV16" s="1720">
        <f>SUM(AV13:AZ15)</f>
        <v>110000</v>
      </c>
      <c r="AW16" s="1721"/>
      <c r="AX16" s="1721"/>
      <c r="AY16" s="1721"/>
      <c r="AZ16" s="1721"/>
      <c r="BA16" s="1722">
        <f>SUM(BA13:BH15)</f>
        <v>110000</v>
      </c>
      <c r="BB16" s="1718"/>
      <c r="BC16" s="1718"/>
      <c r="BD16" s="1718"/>
      <c r="BE16" s="1718"/>
      <c r="BF16" s="1718"/>
      <c r="BG16" s="1718"/>
      <c r="BH16" s="1723"/>
      <c r="BI16" s="994"/>
      <c r="BM16" s="999">
        <v>716100</v>
      </c>
    </row>
    <row r="17" spans="1:65">
      <c r="A17" s="993"/>
      <c r="B17" s="995"/>
      <c r="C17" s="995"/>
      <c r="D17" s="995"/>
      <c r="AN17" s="996"/>
      <c r="AO17" s="996"/>
      <c r="AP17" s="996"/>
      <c r="AQ17" s="996"/>
      <c r="AR17" s="996"/>
      <c r="AS17" s="996"/>
      <c r="AT17" s="996"/>
      <c r="AU17" s="996"/>
      <c r="AV17" s="996"/>
      <c r="AW17" s="996"/>
      <c r="AX17" s="996"/>
      <c r="AY17" s="996"/>
      <c r="AZ17" s="996"/>
    </row>
    <row r="18" spans="1:65">
      <c r="A18" s="997" t="s">
        <v>1158</v>
      </c>
      <c r="B18" s="995"/>
      <c r="C18" s="995"/>
      <c r="D18" s="995"/>
      <c r="BM18" s="999" t="s">
        <v>1180</v>
      </c>
    </row>
    <row r="19" spans="1:65">
      <c r="A19" s="997" t="s">
        <v>1159</v>
      </c>
      <c r="B19" s="995"/>
      <c r="C19" s="995"/>
      <c r="D19" s="995"/>
      <c r="BM19" s="999">
        <v>1196000</v>
      </c>
    </row>
    <row r="20" spans="1:65">
      <c r="A20" s="997" t="s">
        <v>1160</v>
      </c>
      <c r="B20" s="995"/>
      <c r="C20" s="995"/>
      <c r="D20" s="995"/>
    </row>
    <row r="21" spans="1:65">
      <c r="A21" s="997" t="s">
        <v>1161</v>
      </c>
      <c r="B21" s="988"/>
      <c r="C21" s="995"/>
      <c r="D21" s="995"/>
    </row>
    <row r="22" spans="1:65">
      <c r="A22" s="997" t="s">
        <v>1162</v>
      </c>
      <c r="B22" s="988"/>
      <c r="C22" s="995"/>
      <c r="D22" s="995"/>
    </row>
    <row r="23" spans="1:65">
      <c r="A23" s="997" t="s">
        <v>1229</v>
      </c>
      <c r="B23" s="988"/>
      <c r="C23" s="995"/>
      <c r="D23" s="995"/>
    </row>
    <row r="24" spans="1:65">
      <c r="A24" s="997" t="s">
        <v>1176</v>
      </c>
      <c r="B24" s="988"/>
      <c r="C24" s="995"/>
      <c r="D24" s="995"/>
      <c r="BM24" s="999" t="s">
        <v>1181</v>
      </c>
    </row>
    <row r="25" spans="1:65">
      <c r="A25" s="997" t="s">
        <v>1163</v>
      </c>
      <c r="B25" s="988"/>
      <c r="C25" s="995"/>
      <c r="D25" s="995"/>
    </row>
    <row r="26" spans="1:65">
      <c r="A26" s="997" t="s">
        <v>1164</v>
      </c>
      <c r="B26" s="988"/>
      <c r="C26" s="995"/>
      <c r="D26" s="995"/>
      <c r="BM26" s="999">
        <v>275000</v>
      </c>
    </row>
    <row r="27" spans="1:65">
      <c r="A27" s="997" t="s">
        <v>1234</v>
      </c>
      <c r="B27" s="988"/>
      <c r="C27" s="995"/>
      <c r="D27" s="995"/>
    </row>
    <row r="28" spans="1:65">
      <c r="A28" s="997" t="s">
        <v>1165</v>
      </c>
      <c r="B28" s="988"/>
      <c r="C28" s="995"/>
      <c r="D28" s="995"/>
      <c r="BM28" s="999" t="s">
        <v>1182</v>
      </c>
    </row>
    <row r="29" spans="1:65">
      <c r="A29" s="997" t="s">
        <v>1230</v>
      </c>
      <c r="B29" s="988"/>
      <c r="C29" s="995"/>
      <c r="D29" s="995"/>
      <c r="BM29" s="999">
        <v>0</v>
      </c>
    </row>
    <row r="30" spans="1:65">
      <c r="A30" s="997" t="s">
        <v>1166</v>
      </c>
      <c r="B30" s="988"/>
      <c r="C30" s="995"/>
      <c r="D30" s="995"/>
    </row>
    <row r="31" spans="1:65">
      <c r="A31" s="997" t="s">
        <v>1167</v>
      </c>
      <c r="B31" s="988"/>
      <c r="C31" s="995"/>
      <c r="D31" s="995"/>
    </row>
    <row r="32" spans="1:65">
      <c r="A32" s="997"/>
      <c r="B32" s="988"/>
      <c r="C32" s="995"/>
      <c r="D32" s="995"/>
      <c r="BM32" s="999" t="s">
        <v>1183</v>
      </c>
    </row>
    <row r="33" spans="1:65">
      <c r="A33" s="987" t="s">
        <v>1168</v>
      </c>
      <c r="BM33" s="999">
        <v>3480000</v>
      </c>
    </row>
    <row r="35" spans="1:65" ht="14.25" thickBot="1">
      <c r="A35" s="1724" t="s">
        <v>1169</v>
      </c>
      <c r="B35" s="1725"/>
      <c r="C35" s="1725"/>
      <c r="D35" s="1725"/>
      <c r="E35" s="1725"/>
      <c r="F35" s="1725"/>
      <c r="G35" s="1725"/>
      <c r="H35" s="1725"/>
      <c r="I35" s="1725"/>
      <c r="J35" s="1725"/>
      <c r="K35" s="1725"/>
      <c r="L35" s="1726"/>
      <c r="M35" s="1727" t="s">
        <v>1170</v>
      </c>
      <c r="N35" s="1725"/>
      <c r="O35" s="1725"/>
      <c r="P35" s="1725"/>
      <c r="Q35" s="1725"/>
      <c r="R35" s="1725"/>
      <c r="S35" s="1726"/>
      <c r="T35" s="1725" t="s">
        <v>1171</v>
      </c>
      <c r="U35" s="1725"/>
      <c r="V35" s="1725"/>
      <c r="W35" s="1725"/>
      <c r="X35" s="1725"/>
      <c r="Y35" s="1725"/>
      <c r="Z35" s="1726"/>
      <c r="AA35" s="1725" t="s">
        <v>1172</v>
      </c>
      <c r="AB35" s="1725"/>
      <c r="AC35" s="1725"/>
      <c r="AD35" s="1725"/>
      <c r="AE35" s="1725"/>
      <c r="AF35" s="1725"/>
      <c r="AG35" s="1725"/>
      <c r="AH35" s="1087"/>
      <c r="AI35" s="1725" t="s">
        <v>1173</v>
      </c>
      <c r="AJ35" s="1725"/>
      <c r="AK35" s="1725"/>
      <c r="AL35" s="1725"/>
      <c r="AM35" s="1725"/>
      <c r="AN35" s="1725"/>
      <c r="AO35" s="1725"/>
      <c r="AP35" s="1727" t="s">
        <v>1174</v>
      </c>
      <c r="AQ35" s="1725"/>
      <c r="AR35" s="1725"/>
      <c r="AS35" s="1725"/>
      <c r="AT35" s="1725"/>
      <c r="AU35" s="1726"/>
      <c r="AV35" s="1725" t="s">
        <v>1231</v>
      </c>
      <c r="AW35" s="1725"/>
      <c r="AX35" s="1725"/>
      <c r="AY35" s="1725"/>
      <c r="AZ35" s="1726"/>
      <c r="BA35" s="1725" t="s">
        <v>1232</v>
      </c>
      <c r="BB35" s="1725"/>
      <c r="BC35" s="1725"/>
      <c r="BD35" s="1725"/>
      <c r="BE35" s="1725"/>
      <c r="BF35" s="1725"/>
      <c r="BG35" s="1725"/>
      <c r="BH35" s="1728"/>
      <c r="BM35" s="999" t="s">
        <v>1184</v>
      </c>
    </row>
    <row r="36" spans="1:65" ht="14.25" thickTop="1">
      <c r="A36" s="1732" t="s">
        <v>1175</v>
      </c>
      <c r="B36" s="1698"/>
      <c r="C36" s="1698"/>
      <c r="D36" s="1698"/>
      <c r="E36" s="1698"/>
      <c r="F36" s="1698"/>
      <c r="G36" s="1698"/>
      <c r="H36" s="1698"/>
      <c r="I36" s="1698"/>
      <c r="J36" s="1698"/>
      <c r="K36" s="1698"/>
      <c r="L36" s="1699"/>
      <c r="M36" s="1730">
        <v>0.3</v>
      </c>
      <c r="N36" s="1729"/>
      <c r="O36" s="1729"/>
      <c r="P36" s="1729"/>
      <c r="Q36" s="1729"/>
      <c r="R36" s="1729"/>
      <c r="S36" s="1731"/>
      <c r="T36" s="1729">
        <v>0.4</v>
      </c>
      <c r="U36" s="1729"/>
      <c r="V36" s="1729"/>
      <c r="W36" s="1729"/>
      <c r="X36" s="1729"/>
      <c r="Y36" s="1729"/>
      <c r="Z36" s="1731"/>
      <c r="AA36" s="1729">
        <v>0.5</v>
      </c>
      <c r="AB36" s="1729"/>
      <c r="AC36" s="1729"/>
      <c r="AD36" s="1729"/>
      <c r="AE36" s="1729"/>
      <c r="AF36" s="1729"/>
      <c r="AG36" s="1729"/>
      <c r="AH36" s="1088"/>
      <c r="AI36" s="1729">
        <v>0.6</v>
      </c>
      <c r="AJ36" s="1729"/>
      <c r="AK36" s="1729"/>
      <c r="AL36" s="1729"/>
      <c r="AM36" s="1729"/>
      <c r="AN36" s="1729"/>
      <c r="AO36" s="1729"/>
      <c r="AP36" s="1730">
        <v>0.7</v>
      </c>
      <c r="AQ36" s="1729"/>
      <c r="AR36" s="1729"/>
      <c r="AS36" s="1729"/>
      <c r="AT36" s="1729"/>
      <c r="AU36" s="1731"/>
      <c r="AV36" s="1730">
        <v>0.8</v>
      </c>
      <c r="AW36" s="1729"/>
      <c r="AX36" s="1729"/>
      <c r="AY36" s="1729"/>
      <c r="AZ36" s="1731"/>
      <c r="BA36" s="1730" t="s">
        <v>1233</v>
      </c>
      <c r="BB36" s="1729"/>
      <c r="BC36" s="1729"/>
      <c r="BD36" s="1729"/>
      <c r="BE36" s="1729"/>
      <c r="BF36" s="1729"/>
      <c r="BG36" s="1729"/>
      <c r="BH36" s="1733"/>
      <c r="BM36" s="999">
        <v>89000</v>
      </c>
    </row>
    <row r="39" spans="1:65">
      <c r="BM39" s="999" t="s">
        <v>1185</v>
      </c>
    </row>
    <row r="40" spans="1:65">
      <c r="A40" s="998"/>
      <c r="BM40" s="999">
        <v>135000</v>
      </c>
    </row>
    <row r="44" spans="1:65">
      <c r="BM44" s="999" t="s">
        <v>1186</v>
      </c>
    </row>
    <row r="46" spans="1:65">
      <c r="BM46" s="999">
        <v>37500</v>
      </c>
    </row>
    <row r="48" spans="1:65">
      <c r="BM48" s="999" t="s">
        <v>1187</v>
      </c>
    </row>
    <row r="49" spans="65:65">
      <c r="BM49" s="999">
        <v>0</v>
      </c>
    </row>
    <row r="51" spans="65:65">
      <c r="BM51" s="999" t="s">
        <v>89</v>
      </c>
    </row>
    <row r="52" spans="65:65">
      <c r="BM52" s="999">
        <f>BM4+BM13+BM16+BM19+BM26+BM33+BM36+BM40+BM46</f>
        <v>6764760</v>
      </c>
    </row>
  </sheetData>
  <mergeCells count="76">
    <mergeCell ref="AI36:AO36"/>
    <mergeCell ref="AP35:AU35"/>
    <mergeCell ref="AP36:AU36"/>
    <mergeCell ref="A36:L36"/>
    <mergeCell ref="BA36:BH36"/>
    <mergeCell ref="M36:S36"/>
    <mergeCell ref="T36:Z36"/>
    <mergeCell ref="AV36:AZ36"/>
    <mergeCell ref="AA36:AG36"/>
    <mergeCell ref="A16:AM16"/>
    <mergeCell ref="AN16:AU16"/>
    <mergeCell ref="AV16:AZ16"/>
    <mergeCell ref="BA16:BH16"/>
    <mergeCell ref="A35:L35"/>
    <mergeCell ref="M35:S35"/>
    <mergeCell ref="T35:Z35"/>
    <mergeCell ref="BA35:BH35"/>
    <mergeCell ref="AV35:AZ35"/>
    <mergeCell ref="AA35:AG35"/>
    <mergeCell ref="AI35:AO35"/>
    <mergeCell ref="BA15:BH15"/>
    <mergeCell ref="A15:D15"/>
    <mergeCell ref="E15:G15"/>
    <mergeCell ref="H15:L15"/>
    <mergeCell ref="M15:R15"/>
    <mergeCell ref="S15:W15"/>
    <mergeCell ref="X15:AA15"/>
    <mergeCell ref="AB15:AF15"/>
    <mergeCell ref="AG15:AI15"/>
    <mergeCell ref="AJ15:AM15"/>
    <mergeCell ref="AN15:AU15"/>
    <mergeCell ref="AV15:AZ15"/>
    <mergeCell ref="BA14:BH14"/>
    <mergeCell ref="A14:D14"/>
    <mergeCell ref="E14:G14"/>
    <mergeCell ref="H14:L14"/>
    <mergeCell ref="M14:R14"/>
    <mergeCell ref="S14:W14"/>
    <mergeCell ref="X14:AA14"/>
    <mergeCell ref="AB14:AF14"/>
    <mergeCell ref="AG14:AI14"/>
    <mergeCell ref="AJ14:AM14"/>
    <mergeCell ref="AN14:AU14"/>
    <mergeCell ref="AV14:AZ14"/>
    <mergeCell ref="BA13:BH13"/>
    <mergeCell ref="A13:D13"/>
    <mergeCell ref="E13:G13"/>
    <mergeCell ref="H13:L13"/>
    <mergeCell ref="M13:R13"/>
    <mergeCell ref="S13:W13"/>
    <mergeCell ref="X13:AA13"/>
    <mergeCell ref="AB13:AF13"/>
    <mergeCell ref="AG13:AI13"/>
    <mergeCell ref="AJ13:AM13"/>
    <mergeCell ref="AN13:AU13"/>
    <mergeCell ref="AV13:AZ13"/>
    <mergeCell ref="BA12:BH12"/>
    <mergeCell ref="A12:D12"/>
    <mergeCell ref="E12:G12"/>
    <mergeCell ref="H12:L12"/>
    <mergeCell ref="M12:R12"/>
    <mergeCell ref="S12:W12"/>
    <mergeCell ref="X12:AA12"/>
    <mergeCell ref="AB12:AF12"/>
    <mergeCell ref="AG12:AI12"/>
    <mergeCell ref="AJ12:AM12"/>
    <mergeCell ref="AN12:AU12"/>
    <mergeCell ref="AV12:AZ12"/>
    <mergeCell ref="A5:S5"/>
    <mergeCell ref="T5:AJ5"/>
    <mergeCell ref="AK5:BA5"/>
    <mergeCell ref="BB5:BH5"/>
    <mergeCell ref="A6:S6"/>
    <mergeCell ref="T6:AJ6"/>
    <mergeCell ref="AK6:BA6"/>
    <mergeCell ref="BB6:BH6"/>
  </mergeCells>
  <phoneticPr fontId="3" type="noConversion"/>
  <pageMargins left="0.7" right="0.7" top="0.75" bottom="0.75" header="0.3" footer="0.3"/>
  <pageSetup paperSize="9" scale="76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"/>
  <sheetViews>
    <sheetView showGridLines="0" view="pageBreakPreview" topLeftCell="E1" zoomScale="90" zoomScaleNormal="100" zoomScaleSheetLayoutView="90" workbookViewId="0">
      <selection activeCell="O36" sqref="O36"/>
    </sheetView>
  </sheetViews>
  <sheetFormatPr defaultRowHeight="13.5"/>
  <cols>
    <col min="1" max="1" width="1" style="986" customWidth="1"/>
    <col min="2" max="2" width="13" style="986" bestFit="1" customWidth="1"/>
    <col min="3" max="3" width="18.21875" style="986" customWidth="1"/>
    <col min="4" max="4" width="15.33203125" style="986" bestFit="1" customWidth="1"/>
    <col min="5" max="5" width="15.109375" style="986" customWidth="1"/>
    <col min="6" max="6" width="11.33203125" style="986" bestFit="1" customWidth="1"/>
    <col min="7" max="7" width="17.6640625" style="986" customWidth="1"/>
    <col min="8" max="8" width="15.33203125" style="986" customWidth="1"/>
    <col min="9" max="13" width="13.77734375" style="986" bestFit="1" customWidth="1"/>
    <col min="14" max="14" width="14.109375" style="986" customWidth="1"/>
    <col min="15" max="15" width="12.6640625" style="986" bestFit="1" customWidth="1"/>
    <col min="16" max="16" width="14.88671875" style="986" bestFit="1" customWidth="1"/>
    <col min="17" max="16384" width="8.88671875" style="986"/>
  </cols>
  <sheetData>
    <row r="2" spans="2:19" ht="20.25">
      <c r="B2" s="1734" t="s">
        <v>1189</v>
      </c>
      <c r="C2" s="1734"/>
      <c r="D2" s="1734"/>
      <c r="E2" s="1734"/>
      <c r="F2" s="1734"/>
      <c r="G2" s="1734"/>
      <c r="H2" s="1734"/>
      <c r="I2" s="1734"/>
      <c r="J2" s="1734"/>
      <c r="K2" s="1734"/>
      <c r="L2" s="1734"/>
      <c r="M2" s="1734"/>
      <c r="N2" s="1734"/>
      <c r="O2" s="1734"/>
      <c r="P2" s="1734"/>
    </row>
    <row r="3" spans="2:19" ht="14.25" thickBot="1"/>
    <row r="4" spans="2:19" ht="14.25" thickTop="1">
      <c r="B4" s="1735" t="s">
        <v>1190</v>
      </c>
      <c r="C4" s="1737" t="s">
        <v>1191</v>
      </c>
      <c r="D4" s="1739" t="s">
        <v>1192</v>
      </c>
      <c r="E4" s="1739" t="s">
        <v>1193</v>
      </c>
      <c r="F4" s="1737" t="s">
        <v>1194</v>
      </c>
      <c r="G4" s="1737" t="s">
        <v>1195</v>
      </c>
      <c r="H4" s="1739" t="s">
        <v>1196</v>
      </c>
      <c r="I4" s="1018" t="s">
        <v>1197</v>
      </c>
      <c r="J4" s="1019" t="s">
        <v>1198</v>
      </c>
      <c r="K4" s="1020" t="s">
        <v>1199</v>
      </c>
      <c r="L4" s="1021" t="s">
        <v>1200</v>
      </c>
      <c r="M4" s="1022" t="s">
        <v>1201</v>
      </c>
      <c r="N4" s="1022" t="s">
        <v>1202</v>
      </c>
      <c r="O4" s="1023" t="s">
        <v>1203</v>
      </c>
      <c r="P4" s="1740" t="s">
        <v>1204</v>
      </c>
    </row>
    <row r="5" spans="2:19" ht="14.25" thickBot="1">
      <c r="B5" s="1736"/>
      <c r="C5" s="1738"/>
      <c r="D5" s="1738"/>
      <c r="E5" s="1738"/>
      <c r="F5" s="1738"/>
      <c r="G5" s="1738"/>
      <c r="H5" s="1738"/>
      <c r="I5" s="1025" t="s">
        <v>1205</v>
      </c>
      <c r="J5" s="1026" t="s">
        <v>1206</v>
      </c>
      <c r="K5" s="1027" t="s">
        <v>1207</v>
      </c>
      <c r="L5" s="1028" t="s">
        <v>1208</v>
      </c>
      <c r="M5" s="1024" t="s">
        <v>1209</v>
      </c>
      <c r="N5" s="1024" t="s">
        <v>1210</v>
      </c>
      <c r="O5" s="1029" t="s">
        <v>1211</v>
      </c>
      <c r="P5" s="1741"/>
    </row>
    <row r="6" spans="2:19" ht="14.25" thickTop="1">
      <c r="B6" s="1030" t="s">
        <v>1212</v>
      </c>
      <c r="C6" s="1031">
        <v>21959770</v>
      </c>
      <c r="D6" s="1031">
        <f>INT(C6*0.8557)</f>
        <v>18790975</v>
      </c>
      <c r="E6" s="1032">
        <f>INT(D6/6)</f>
        <v>3131829</v>
      </c>
      <c r="F6" s="1033">
        <v>43234</v>
      </c>
      <c r="G6" s="1032">
        <f>INT(D6/6/12)</f>
        <v>260985</v>
      </c>
      <c r="H6" s="1032">
        <v>165886</v>
      </c>
      <c r="I6" s="1034">
        <f>INT(E6/365*133)</f>
        <v>1141187</v>
      </c>
      <c r="J6" s="1035">
        <f>E6</f>
        <v>3131829</v>
      </c>
      <c r="K6" s="1036">
        <f>E6</f>
        <v>3131829</v>
      </c>
      <c r="L6" s="1037">
        <f>E6</f>
        <v>3131829</v>
      </c>
      <c r="M6" s="1031">
        <f>E6</f>
        <v>3131829</v>
      </c>
      <c r="N6" s="1031">
        <f>E6</f>
        <v>3131829</v>
      </c>
      <c r="O6" s="1038">
        <f>M6-I6+1</f>
        <v>1990643</v>
      </c>
      <c r="P6" s="1039">
        <f>SUM(I6:O6)</f>
        <v>18790975</v>
      </c>
      <c r="Q6" s="1040"/>
      <c r="R6" s="1040"/>
      <c r="S6" s="1040"/>
    </row>
    <row r="7" spans="2:19">
      <c r="B7" s="1041" t="s">
        <v>1213</v>
      </c>
      <c r="C7" s="1042">
        <v>101817440</v>
      </c>
      <c r="D7" s="1042">
        <f>INT(C7*0.8557)</f>
        <v>87125183</v>
      </c>
      <c r="E7" s="1043">
        <f>INT(D7/6)</f>
        <v>14520863</v>
      </c>
      <c r="F7" s="1044">
        <v>43272</v>
      </c>
      <c r="G7" s="1043">
        <f>INT(D7/6/12)</f>
        <v>1210071</v>
      </c>
      <c r="H7" s="1043">
        <v>643161</v>
      </c>
      <c r="I7" s="1045">
        <f>INT(E7/365*171)+1764445</f>
        <v>8567369</v>
      </c>
      <c r="J7" s="1046">
        <f>E7</f>
        <v>14520863</v>
      </c>
      <c r="K7" s="1047">
        <f>E7</f>
        <v>14520863</v>
      </c>
      <c r="L7" s="1048">
        <f>E7</f>
        <v>14520863</v>
      </c>
      <c r="M7" s="1042">
        <f>E7</f>
        <v>14520863</v>
      </c>
      <c r="N7" s="1042">
        <f>E7</f>
        <v>14520863</v>
      </c>
      <c r="O7" s="1049">
        <f>M7-I7+5+3</f>
        <v>5953502</v>
      </c>
      <c r="P7" s="1050">
        <f>SUM(I7:O7)</f>
        <v>87125186</v>
      </c>
      <c r="Q7" s="1040"/>
      <c r="R7" s="1040"/>
      <c r="S7" s="1040"/>
    </row>
    <row r="8" spans="2:19" ht="14.25" thickBot="1">
      <c r="B8" s="1051" t="s">
        <v>1214</v>
      </c>
      <c r="C8" s="1052">
        <v>167595900</v>
      </c>
      <c r="D8" s="1052">
        <f>INT(C8*0.8557)</f>
        <v>143411811</v>
      </c>
      <c r="E8" s="1053">
        <f>INT(D8/6)</f>
        <v>23901968</v>
      </c>
      <c r="F8" s="1054">
        <v>43101</v>
      </c>
      <c r="G8" s="1053">
        <f>INT(D8/6/12)</f>
        <v>1991830</v>
      </c>
      <c r="H8" s="1053">
        <v>1991830</v>
      </c>
      <c r="I8" s="1055">
        <f>E8/365*365</f>
        <v>23901968</v>
      </c>
      <c r="J8" s="1056">
        <f>E8</f>
        <v>23901968</v>
      </c>
      <c r="K8" s="1057">
        <f>E8</f>
        <v>23901968</v>
      </c>
      <c r="L8" s="1058">
        <f>E8</f>
        <v>23901968</v>
      </c>
      <c r="M8" s="1052">
        <f>E8</f>
        <v>23901968</v>
      </c>
      <c r="N8" s="1052">
        <f>E8</f>
        <v>23901968</v>
      </c>
      <c r="O8" s="1059">
        <v>0</v>
      </c>
      <c r="P8" s="1060">
        <f>SUM(I8:O8)</f>
        <v>143411808</v>
      </c>
      <c r="Q8" s="1040"/>
      <c r="R8" s="1040"/>
      <c r="S8" s="1040"/>
    </row>
    <row r="9" spans="2:19" ht="15" thickTop="1" thickBot="1">
      <c r="B9" s="1061" t="s">
        <v>1204</v>
      </c>
      <c r="C9" s="1062">
        <f>SUM(C6:C8)</f>
        <v>291373110</v>
      </c>
      <c r="D9" s="1062">
        <f>SUM(D6:D8)</f>
        <v>249327969</v>
      </c>
      <c r="E9" s="1063">
        <f>C9-D9</f>
        <v>42045141</v>
      </c>
      <c r="F9" s="1064" t="s">
        <v>1215</v>
      </c>
      <c r="G9" s="1064"/>
      <c r="H9" s="1064"/>
      <c r="I9" s="1065">
        <f>SUM(I6:I8)</f>
        <v>33610524</v>
      </c>
      <c r="J9" s="1066">
        <f t="shared" ref="J9:P9" si="0">SUM(J6:J8)</f>
        <v>41554660</v>
      </c>
      <c r="K9" s="1065">
        <f t="shared" si="0"/>
        <v>41554660</v>
      </c>
      <c r="L9" s="1067">
        <f t="shared" si="0"/>
        <v>41554660</v>
      </c>
      <c r="M9" s="1068">
        <f t="shared" si="0"/>
        <v>41554660</v>
      </c>
      <c r="N9" s="1068">
        <f>SUM(N6:N8)</f>
        <v>41554660</v>
      </c>
      <c r="O9" s="1069">
        <f t="shared" si="0"/>
        <v>7944145</v>
      </c>
      <c r="P9" s="1070">
        <f t="shared" si="0"/>
        <v>249327969</v>
      </c>
    </row>
    <row r="10" spans="2:19" ht="14.25" thickTop="1"/>
    <row r="11" spans="2:19" ht="27">
      <c r="B11" s="1071" t="s">
        <v>1216</v>
      </c>
      <c r="C11" s="1072">
        <f>I9+J9+K9</f>
        <v>116719844</v>
      </c>
      <c r="D11" s="1073"/>
      <c r="E11" s="1074" t="s">
        <v>1217</v>
      </c>
      <c r="F11" s="1074"/>
      <c r="G11" s="1075" t="s">
        <v>1218</v>
      </c>
    </row>
    <row r="12" spans="2:19" ht="27">
      <c r="B12" s="1076" t="s">
        <v>1219</v>
      </c>
      <c r="C12" s="1077">
        <f>L9+M9+N9+O9</f>
        <v>132608125</v>
      </c>
      <c r="D12" s="1078"/>
      <c r="E12" s="1079">
        <f>C9-C13</f>
        <v>42045141</v>
      </c>
      <c r="F12" s="1080"/>
      <c r="G12" s="1081">
        <f>E12+C12</f>
        <v>174653266</v>
      </c>
    </row>
    <row r="13" spans="2:19">
      <c r="B13" s="1082" t="s">
        <v>1220</v>
      </c>
      <c r="C13" s="1083">
        <f>C11+C12</f>
        <v>249327969</v>
      </c>
      <c r="D13" s="1084"/>
      <c r="E13" s="1085"/>
      <c r="F13" s="1084"/>
      <c r="G13" s="1086"/>
      <c r="I13" s="1040"/>
    </row>
    <row r="22" spans="9:9">
      <c r="I22" s="986">
        <v>33610524</v>
      </c>
    </row>
    <row r="23" spans="9:9">
      <c r="I23" s="1040">
        <f>I22-I9</f>
        <v>0</v>
      </c>
    </row>
  </sheetData>
  <mergeCells count="9">
    <mergeCell ref="B2:P2"/>
    <mergeCell ref="B4:B5"/>
    <mergeCell ref="C4:C5"/>
    <mergeCell ref="D4:D5"/>
    <mergeCell ref="E4:E5"/>
    <mergeCell ref="F4:F5"/>
    <mergeCell ref="G4:G5"/>
    <mergeCell ref="H4:H5"/>
    <mergeCell ref="P4:P5"/>
  </mergeCells>
  <phoneticPr fontId="3" type="noConversion"/>
  <pageMargins left="0.7" right="0.7" top="0.75" bottom="0.75" header="0.3" footer="0.3"/>
  <pageSetup paperSize="9" scale="35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view="pageBreakPreview" topLeftCell="A5" zoomScaleNormal="100" zoomScaleSheetLayoutView="100" workbookViewId="0">
      <selection activeCell="M14" sqref="M14"/>
    </sheetView>
  </sheetViews>
  <sheetFormatPr defaultRowHeight="12"/>
  <cols>
    <col min="1" max="1" width="1.33203125" style="278" customWidth="1"/>
    <col min="2" max="2" width="8.88671875" style="278" customWidth="1"/>
    <col min="3" max="3" width="1.33203125" style="278" customWidth="1"/>
    <col min="4" max="4" width="9.77734375" style="278" customWidth="1"/>
    <col min="5" max="5" width="6.5546875" style="39" customWidth="1"/>
    <col min="6" max="6" width="10.77734375" style="279" customWidth="1"/>
    <col min="7" max="7" width="10.6640625" style="39" customWidth="1"/>
    <col min="8" max="8" width="12.33203125" style="39" customWidth="1"/>
    <col min="9" max="9" width="0.44140625" style="39" customWidth="1"/>
    <col min="10" max="10" width="22" style="279" customWidth="1"/>
    <col min="11" max="11" width="13.77734375" style="34" customWidth="1"/>
    <col min="12" max="16" width="8.88671875" style="34" customWidth="1"/>
    <col min="17" max="16384" width="8.88671875" style="34"/>
  </cols>
  <sheetData>
    <row r="1" spans="1:19" ht="20.100000000000001" customHeight="1">
      <c r="A1" s="1" t="str">
        <f>"[ 표 : "&amp;K1&amp;" ] "</f>
        <v xml:space="preserve">[ 표 : 37 ] </v>
      </c>
      <c r="K1" s="34">
        <f>'변동)수집운반비'!H1+1</f>
        <v>37</v>
      </c>
    </row>
    <row r="2" spans="1:19" s="36" customFormat="1" ht="39.950000000000003" customHeight="1">
      <c r="A2" s="35" t="s">
        <v>532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9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9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9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  <c r="N5" s="911"/>
    </row>
    <row r="6" spans="1:19" ht="43.5" customHeight="1">
      <c r="A6" s="291"/>
      <c r="B6" s="292"/>
      <c r="C6" s="293"/>
      <c r="D6" s="293"/>
      <c r="E6" s="294"/>
      <c r="F6" s="295" t="s">
        <v>60</v>
      </c>
      <c r="G6" s="294" t="s">
        <v>145</v>
      </c>
      <c r="H6" s="296"/>
      <c r="I6" s="297"/>
      <c r="J6" s="296"/>
    </row>
    <row r="7" spans="1:19" s="12" customFormat="1" ht="43.5" customHeight="1">
      <c r="A7" s="298"/>
      <c r="B7" s="318" t="s">
        <v>496</v>
      </c>
      <c r="C7" s="300"/>
      <c r="D7" s="301"/>
      <c r="E7" s="17" t="s">
        <v>499</v>
      </c>
      <c r="F7" s="334">
        <f>전력사용량!$P$22/'변동-대)전력비'!$G$7</f>
        <v>32625.515865384616</v>
      </c>
      <c r="G7" s="320">
        <v>8320</v>
      </c>
      <c r="H7" s="303">
        <f t="shared" ref="H7:H12" si="0">TRUNC(G7*F7)</f>
        <v>271444292</v>
      </c>
      <c r="I7" s="298"/>
      <c r="J7" s="304" t="s">
        <v>1407</v>
      </c>
      <c r="L7" s="12">
        <f>F7/4</f>
        <v>8156.3789663461539</v>
      </c>
    </row>
    <row r="8" spans="1:19" s="12" customFormat="1" ht="43.5" customHeight="1">
      <c r="A8" s="298"/>
      <c r="B8" s="299" t="s">
        <v>497</v>
      </c>
      <c r="C8" s="300"/>
      <c r="D8" s="301"/>
      <c r="E8" s="17" t="s">
        <v>500</v>
      </c>
      <c r="F8" s="335">
        <v>1</v>
      </c>
      <c r="G8" s="17">
        <f>전력사용량!$U$22</f>
        <v>17157596.5</v>
      </c>
      <c r="H8" s="303">
        <f t="shared" si="0"/>
        <v>17157596</v>
      </c>
      <c r="I8" s="298"/>
      <c r="J8" s="304" t="s">
        <v>764</v>
      </c>
      <c r="L8" s="12" t="s">
        <v>1274</v>
      </c>
      <c r="M8" s="12" t="s">
        <v>1275</v>
      </c>
      <c r="N8" s="12" t="s">
        <v>1276</v>
      </c>
      <c r="O8" s="12" t="s">
        <v>1277</v>
      </c>
    </row>
    <row r="9" spans="1:19" s="12" customFormat="1" ht="43.5" customHeight="1">
      <c r="A9" s="298"/>
      <c r="B9" s="299" t="s">
        <v>498</v>
      </c>
      <c r="C9" s="300"/>
      <c r="D9" s="301" t="s">
        <v>483</v>
      </c>
      <c r="E9" s="17" t="s">
        <v>499</v>
      </c>
      <c r="F9" s="334">
        <f>전력사용량!H$26</f>
        <v>2205342.5</v>
      </c>
      <c r="G9" s="320">
        <f>$P$12</f>
        <v>121.23666666666668</v>
      </c>
      <c r="H9" s="303">
        <f t="shared" si="0"/>
        <v>267368373</v>
      </c>
      <c r="I9" s="298"/>
      <c r="J9" s="1254" t="s">
        <v>1403</v>
      </c>
      <c r="L9" s="12">
        <v>50</v>
      </c>
      <c r="M9" s="12">
        <v>87.3</v>
      </c>
      <c r="N9" s="12">
        <v>87.3</v>
      </c>
      <c r="O9" s="12">
        <v>94.3</v>
      </c>
      <c r="R9" s="12">
        <f>M9/N9</f>
        <v>1</v>
      </c>
      <c r="S9" s="12">
        <f>M9/O9</f>
        <v>0.92576882290562035</v>
      </c>
    </row>
    <row r="10" spans="1:19" s="12" customFormat="1" ht="43.5" customHeight="1">
      <c r="A10" s="298"/>
      <c r="B10" s="299"/>
      <c r="C10" s="300"/>
      <c r="D10" s="301" t="s">
        <v>473</v>
      </c>
      <c r="E10" s="17" t="s">
        <v>499</v>
      </c>
      <c r="F10" s="334">
        <f>전력사용량!I$26</f>
        <v>3728814.5</v>
      </c>
      <c r="G10" s="320">
        <f t="shared" ref="G10:G12" si="1">$P$12</f>
        <v>121.23666666666668</v>
      </c>
      <c r="H10" s="303">
        <f t="shared" si="0"/>
        <v>452069040</v>
      </c>
      <c r="I10" s="298"/>
      <c r="J10" s="1254" t="s">
        <v>1404</v>
      </c>
      <c r="L10" s="12">
        <v>30</v>
      </c>
      <c r="M10" s="12">
        <v>140.19999999999999</v>
      </c>
      <c r="N10" s="12">
        <v>109.8</v>
      </c>
      <c r="O10" s="12">
        <v>140.4</v>
      </c>
    </row>
    <row r="11" spans="1:19" s="12" customFormat="1" ht="43.5" customHeight="1">
      <c r="A11" s="298"/>
      <c r="B11" s="299"/>
      <c r="C11" s="300"/>
      <c r="D11" s="301" t="s">
        <v>474</v>
      </c>
      <c r="E11" s="17" t="s">
        <v>499</v>
      </c>
      <c r="F11" s="334">
        <f>전력사용량!J$26</f>
        <v>2123698.5</v>
      </c>
      <c r="G11" s="320">
        <f t="shared" si="1"/>
        <v>121.23666666666668</v>
      </c>
      <c r="H11" s="303">
        <f t="shared" si="0"/>
        <v>257470127</v>
      </c>
      <c r="I11" s="298"/>
      <c r="J11" s="304" t="s">
        <v>1405</v>
      </c>
      <c r="L11" s="12">
        <v>20</v>
      </c>
      <c r="M11" s="12">
        <v>222.3</v>
      </c>
      <c r="N11" s="12">
        <v>140.5</v>
      </c>
      <c r="O11" s="12">
        <v>197.9</v>
      </c>
    </row>
    <row r="12" spans="1:19" s="12" customFormat="1" ht="43.5" customHeight="1">
      <c r="A12" s="298"/>
      <c r="B12" s="299"/>
      <c r="C12" s="300"/>
      <c r="D12" s="301" t="s">
        <v>475</v>
      </c>
      <c r="E12" s="17" t="s">
        <v>499</v>
      </c>
      <c r="F12" s="334">
        <f>전력사용량!K$26</f>
        <v>2915601.5</v>
      </c>
      <c r="G12" s="320">
        <f t="shared" si="1"/>
        <v>121.23666666666668</v>
      </c>
      <c r="H12" s="303">
        <f t="shared" si="0"/>
        <v>353477807</v>
      </c>
      <c r="I12" s="298"/>
      <c r="J12" s="304" t="s">
        <v>1406</v>
      </c>
      <c r="M12" s="12">
        <f>M9*0.5+M10*0.3+M11*0.2</f>
        <v>130.17000000000002</v>
      </c>
      <c r="N12" s="12">
        <f>N9*0.5+N10*0.3+N11*0.2</f>
        <v>104.69</v>
      </c>
      <c r="O12" s="12">
        <f>O9*0.5+O10*0.3+O11*0.2</f>
        <v>128.85</v>
      </c>
      <c r="P12" s="12">
        <f>(M12+N12+O12)/3</f>
        <v>121.23666666666668</v>
      </c>
    </row>
    <row r="13" spans="1:19" s="12" customFormat="1" ht="43.5" customHeight="1">
      <c r="A13" s="298"/>
      <c r="B13" s="299"/>
      <c r="C13" s="300"/>
      <c r="D13" s="301"/>
      <c r="E13" s="17"/>
      <c r="F13" s="335"/>
      <c r="G13" s="17"/>
      <c r="H13" s="303"/>
      <c r="I13" s="298"/>
      <c r="J13" s="304"/>
    </row>
    <row r="14" spans="1:19" ht="43.5" customHeight="1">
      <c r="A14" s="47"/>
      <c r="B14" s="48" t="s">
        <v>308</v>
      </c>
      <c r="C14" s="305"/>
      <c r="D14" s="306"/>
      <c r="E14" s="307"/>
      <c r="F14" s="75"/>
      <c r="G14" s="307"/>
      <c r="H14" s="307">
        <f>SUM(H7:H13)</f>
        <v>1618987235</v>
      </c>
      <c r="I14" s="75"/>
      <c r="J14" s="308"/>
    </row>
    <row r="15" spans="1:19" ht="43.5" customHeight="1">
      <c r="A15" s="47"/>
      <c r="B15" s="48" t="s">
        <v>310</v>
      </c>
      <c r="C15" s="305"/>
      <c r="D15" s="306"/>
      <c r="E15" s="307"/>
      <c r="F15" s="75"/>
      <c r="G15" s="307"/>
      <c r="H15" s="307">
        <f>TRUNC(H14/12)</f>
        <v>134915602</v>
      </c>
      <c r="I15" s="75"/>
      <c r="J15" s="309" t="s">
        <v>309</v>
      </c>
      <c r="M15" s="34">
        <f>M9/M10</f>
        <v>0.62268188302425109</v>
      </c>
      <c r="N15" s="34">
        <f t="shared" ref="N15:O15" si="2">N9/N10</f>
        <v>0.79508196721311475</v>
      </c>
      <c r="O15" s="34">
        <f t="shared" si="2"/>
        <v>0.67165242165242156</v>
      </c>
    </row>
    <row r="16" spans="1:19" s="255" customFormat="1" ht="19.5" customHeight="1">
      <c r="A16" s="43" t="str">
        <f>"주 1) 수량 : "&amp;전력사용량!A1&amp;전력사용량!A2&amp;" 참조"</f>
        <v>주 1) 수량 : [ 표 : 38 ] 전력사용량(kWh)산출표 참조</v>
      </c>
      <c r="E16" s="310"/>
      <c r="F16" s="310"/>
      <c r="G16" s="310"/>
      <c r="H16" s="311"/>
      <c r="I16" s="311"/>
      <c r="J16" s="311"/>
      <c r="K16" s="34"/>
      <c r="M16" s="255">
        <f>M10/M11</f>
        <v>0.63067926225820958</v>
      </c>
      <c r="N16" s="255">
        <f t="shared" ref="N16:O16" si="3">N10/N11</f>
        <v>0.78149466192170813</v>
      </c>
      <c r="O16" s="255">
        <f t="shared" si="3"/>
        <v>0.70944921677614958</v>
      </c>
    </row>
    <row r="17" spans="1:8" s="312" customFormat="1" ht="19.5" customHeight="1">
      <c r="A17" s="43" t="s">
        <v>642</v>
      </c>
      <c r="F17" s="313"/>
    </row>
    <row r="18" spans="1:8" ht="19.5" customHeight="1">
      <c r="A18" s="43"/>
    </row>
    <row r="20" spans="1:8">
      <c r="A20" s="43"/>
    </row>
    <row r="22" spans="1:8">
      <c r="H22" s="314"/>
    </row>
    <row r="28" spans="1:8" ht="15">
      <c r="D28" s="912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8" firstPageNumber="141" orientation="portrait" r:id="rId1"/>
  <headerFooter alignWithMargins="0">
    <oddFooter>&amp;C&amp;"바탕체,보통"- &amp;P -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26"/>
  <sheetViews>
    <sheetView view="pageBreakPreview" topLeftCell="A2" zoomScaleNormal="100" zoomScaleSheetLayoutView="100" workbookViewId="0">
      <selection activeCell="D21" sqref="D21"/>
    </sheetView>
  </sheetViews>
  <sheetFormatPr defaultRowHeight="12"/>
  <cols>
    <col min="1" max="1" width="1.44140625" style="34" customWidth="1"/>
    <col min="2" max="2" width="7.109375" style="34" customWidth="1"/>
    <col min="3" max="3" width="1.44140625" style="34" customWidth="1"/>
    <col min="4" max="4" width="11.109375" style="12" customWidth="1"/>
    <col min="5" max="7" width="11.109375" style="34" customWidth="1"/>
    <col min="8" max="8" width="11.109375" style="12" customWidth="1"/>
    <col min="9" max="11" width="11.109375" style="34" customWidth="1"/>
    <col min="12" max="12" width="5.21875" style="39" customWidth="1"/>
    <col min="13" max="15" width="8.88671875" style="40" customWidth="1"/>
    <col min="16" max="24" width="10" style="34" customWidth="1"/>
    <col min="25" max="41" width="8.88671875" style="40" customWidth="1"/>
    <col min="42" max="42" width="9.21875" style="343" customWidth="1"/>
    <col min="43" max="43" width="8.88671875" style="40" customWidth="1"/>
    <col min="44" max="16384" width="8.88671875" style="40"/>
  </cols>
  <sheetData>
    <row r="1" spans="1:43" ht="23.25" customHeight="1">
      <c r="A1" s="1" t="str">
        <f>"[ 표 : "&amp;M1&amp;" ] "</f>
        <v xml:space="preserve">[ 표 : 38 ] </v>
      </c>
      <c r="M1" s="40">
        <f>'변동-대)전력비'!K1+1</f>
        <v>38</v>
      </c>
    </row>
    <row r="2" spans="1:43" s="42" customFormat="1" ht="28.5" customHeight="1">
      <c r="A2" s="35" t="s">
        <v>567</v>
      </c>
      <c r="B2" s="35"/>
      <c r="C2" s="35"/>
      <c r="D2" s="4"/>
      <c r="E2" s="35"/>
      <c r="F2" s="35"/>
      <c r="G2" s="35"/>
      <c r="H2" s="4"/>
      <c r="I2" s="35"/>
      <c r="J2" s="35"/>
      <c r="K2" s="35"/>
      <c r="L2" s="41"/>
      <c r="P2" s="36"/>
      <c r="Q2" s="36"/>
      <c r="R2" s="36"/>
      <c r="S2" s="36"/>
      <c r="T2" s="36"/>
      <c r="U2" s="36"/>
      <c r="V2" s="36"/>
      <c r="W2" s="36"/>
      <c r="X2" s="36"/>
      <c r="AP2" s="917"/>
    </row>
    <row r="3" spans="1:43" s="42" customFormat="1" ht="8.25" customHeight="1">
      <c r="A3" s="35"/>
      <c r="B3" s="35"/>
      <c r="C3" s="35"/>
      <c r="D3" s="4"/>
      <c r="E3" s="35"/>
      <c r="F3" s="35"/>
      <c r="G3" s="35"/>
      <c r="H3" s="4"/>
      <c r="I3" s="35"/>
      <c r="J3" s="35"/>
      <c r="K3" s="35"/>
      <c r="L3" s="41"/>
      <c r="P3" s="36"/>
      <c r="Q3" s="36"/>
      <c r="R3" s="36"/>
      <c r="S3" s="36"/>
      <c r="T3" s="36"/>
      <c r="U3" s="36"/>
      <c r="V3" s="36"/>
      <c r="W3" s="36"/>
      <c r="X3" s="36"/>
      <c r="AP3" s="917"/>
    </row>
    <row r="4" spans="1:43" ht="20.100000000000001" customHeight="1">
      <c r="A4" s="43"/>
      <c r="L4" s="44"/>
      <c r="P4" s="914" t="s">
        <v>496</v>
      </c>
      <c r="V4" s="914" t="s">
        <v>1078</v>
      </c>
      <c r="W4" s="1253">
        <v>0.05</v>
      </c>
      <c r="AA4" s="34"/>
      <c r="AB4" s="914" t="s">
        <v>1080</v>
      </c>
      <c r="AC4" s="34"/>
      <c r="AD4" s="34"/>
      <c r="AF4" s="34"/>
      <c r="AG4" s="914" t="s">
        <v>1081</v>
      </c>
      <c r="AH4" s="34"/>
      <c r="AI4" s="34"/>
      <c r="AK4" s="34"/>
      <c r="AL4" s="914" t="s">
        <v>1082</v>
      </c>
      <c r="AM4" s="34"/>
      <c r="AN4" s="34"/>
      <c r="AQ4" s="913" t="s">
        <v>515</v>
      </c>
    </row>
    <row r="5" spans="1:43" ht="24.95" customHeight="1">
      <c r="A5" s="45"/>
      <c r="B5" s="1574" t="s">
        <v>307</v>
      </c>
      <c r="C5" s="46"/>
      <c r="D5" s="322" t="s">
        <v>563</v>
      </c>
      <c r="E5" s="323"/>
      <c r="F5" s="323"/>
      <c r="G5" s="323"/>
      <c r="H5" s="322" t="s">
        <v>565</v>
      </c>
      <c r="I5" s="323"/>
      <c r="J5" s="323"/>
      <c r="K5" s="323"/>
      <c r="L5" s="1433" t="s">
        <v>749</v>
      </c>
      <c r="N5" s="324">
        <v>5.4699999999999999E-2</v>
      </c>
      <c r="AA5" s="34"/>
      <c r="AB5" s="34"/>
      <c r="AC5" s="34"/>
      <c r="AD5" s="34"/>
      <c r="AF5" s="34"/>
      <c r="AG5" s="34"/>
      <c r="AH5" s="34"/>
      <c r="AI5" s="34"/>
      <c r="AK5" s="34"/>
      <c r="AL5" s="34"/>
      <c r="AM5" s="34"/>
      <c r="AN5" s="34"/>
    </row>
    <row r="6" spans="1:43" ht="24.95" customHeight="1">
      <c r="A6" s="50"/>
      <c r="B6" s="1575"/>
      <c r="C6" s="52"/>
      <c r="D6" s="31" t="s">
        <v>562</v>
      </c>
      <c r="E6" s="31" t="s">
        <v>473</v>
      </c>
      <c r="F6" s="31" t="s">
        <v>474</v>
      </c>
      <c r="G6" s="31" t="s">
        <v>475</v>
      </c>
      <c r="H6" s="31" t="s">
        <v>562</v>
      </c>
      <c r="I6" s="31" t="s">
        <v>473</v>
      </c>
      <c r="J6" s="31" t="s">
        <v>474</v>
      </c>
      <c r="K6" s="31" t="s">
        <v>475</v>
      </c>
      <c r="L6" s="1435"/>
      <c r="P6" s="914" t="s">
        <v>1074</v>
      </c>
      <c r="Q6" s="914" t="s">
        <v>1075</v>
      </c>
      <c r="R6" s="914" t="s">
        <v>1076</v>
      </c>
      <c r="S6" s="914" t="s">
        <v>1077</v>
      </c>
      <c r="U6" s="914" t="s">
        <v>1074</v>
      </c>
      <c r="V6" s="914" t="s">
        <v>1075</v>
      </c>
      <c r="W6" s="914" t="s">
        <v>1076</v>
      </c>
      <c r="X6" s="914" t="s">
        <v>1077</v>
      </c>
      <c r="AA6" s="914" t="s">
        <v>1074</v>
      </c>
      <c r="AB6" s="914" t="s">
        <v>1075</v>
      </c>
      <c r="AC6" s="914" t="s">
        <v>1076</v>
      </c>
      <c r="AD6" s="914" t="s">
        <v>1077</v>
      </c>
      <c r="AF6" s="914" t="s">
        <v>1074</v>
      </c>
      <c r="AG6" s="914" t="s">
        <v>1075</v>
      </c>
      <c r="AH6" s="914" t="s">
        <v>1076</v>
      </c>
      <c r="AI6" s="914" t="s">
        <v>1077</v>
      </c>
      <c r="AK6" s="914" t="s">
        <v>1074</v>
      </c>
      <c r="AL6" s="914" t="s">
        <v>1075</v>
      </c>
      <c r="AM6" s="914" t="s">
        <v>1076</v>
      </c>
      <c r="AN6" s="914" t="s">
        <v>1077</v>
      </c>
    </row>
    <row r="7" spans="1:43" ht="30.75" customHeight="1">
      <c r="A7" s="53"/>
      <c r="D7" s="54"/>
      <c r="E7" s="45"/>
      <c r="F7" s="45"/>
      <c r="G7" s="45"/>
      <c r="H7" s="54"/>
      <c r="I7" s="45"/>
      <c r="J7" s="45"/>
      <c r="K7" s="45"/>
      <c r="L7" s="55"/>
      <c r="AA7" s="34"/>
      <c r="AB7" s="34"/>
      <c r="AC7" s="34"/>
      <c r="AD7" s="34"/>
      <c r="AF7" s="34"/>
      <c r="AG7" s="34"/>
      <c r="AH7" s="34"/>
      <c r="AI7" s="34"/>
      <c r="AK7" s="34"/>
      <c r="AL7" s="34"/>
      <c r="AM7" s="34"/>
      <c r="AN7" s="34"/>
    </row>
    <row r="8" spans="1:43" s="3" customFormat="1" ht="30.75" customHeight="1">
      <c r="A8" s="56"/>
      <c r="B8" s="57" t="s">
        <v>564</v>
      </c>
      <c r="C8" s="12"/>
      <c r="D8" s="1128">
        <v>173459</v>
      </c>
      <c r="E8" s="1129">
        <v>300004</v>
      </c>
      <c r="F8" s="1128">
        <v>165054</v>
      </c>
      <c r="G8" s="1130">
        <v>234884</v>
      </c>
      <c r="H8" s="1128">
        <f>TRUNC(D8+D8*$N$5)</f>
        <v>182947</v>
      </c>
      <c r="I8" s="1129">
        <f t="shared" ref="I8:K19" si="0">TRUNC(E8+E8*$N$5)</f>
        <v>316414</v>
      </c>
      <c r="J8" s="1128">
        <f t="shared" si="0"/>
        <v>174082</v>
      </c>
      <c r="K8" s="1130">
        <f t="shared" si="0"/>
        <v>247732</v>
      </c>
      <c r="L8" s="61"/>
      <c r="N8" s="62"/>
      <c r="P8" s="915">
        <v>10495277</v>
      </c>
      <c r="Q8" s="915">
        <v>10805264</v>
      </c>
      <c r="R8" s="915">
        <v>9727690</v>
      </c>
      <c r="S8" s="915">
        <v>9860541</v>
      </c>
      <c r="T8" s="915"/>
      <c r="U8" s="915">
        <v>524763</v>
      </c>
      <c r="V8" s="915">
        <v>1080526</v>
      </c>
      <c r="W8" s="915">
        <f>$W$4*R8</f>
        <v>486384.5</v>
      </c>
      <c r="X8" s="915">
        <v>493027</v>
      </c>
      <c r="AA8" s="915">
        <v>446300</v>
      </c>
      <c r="AB8" s="915">
        <v>287000</v>
      </c>
      <c r="AC8" s="915">
        <v>239000</v>
      </c>
      <c r="AD8" s="915">
        <v>371000</v>
      </c>
      <c r="AF8" s="915">
        <v>618350</v>
      </c>
      <c r="AG8" s="915">
        <v>397700</v>
      </c>
      <c r="AH8" s="915">
        <v>331460</v>
      </c>
      <c r="AI8" s="915">
        <v>513620</v>
      </c>
      <c r="AK8" s="915">
        <v>32930</v>
      </c>
      <c r="AL8" s="915">
        <v>21950</v>
      </c>
      <c r="AM8" s="915">
        <v>18600</v>
      </c>
      <c r="AN8" s="915">
        <v>27810</v>
      </c>
      <c r="AP8" s="510">
        <v>937400</v>
      </c>
    </row>
    <row r="9" spans="1:43" s="3" customFormat="1" ht="30.75" customHeight="1">
      <c r="A9" s="56"/>
      <c r="B9" s="57" t="s">
        <v>271</v>
      </c>
      <c r="C9" s="12"/>
      <c r="D9" s="1128">
        <v>166550</v>
      </c>
      <c r="E9" s="1129">
        <v>279096</v>
      </c>
      <c r="F9" s="1128">
        <v>151364</v>
      </c>
      <c r="G9" s="1130">
        <v>206225</v>
      </c>
      <c r="H9" s="1128">
        <f t="shared" ref="H9:H19" si="1">TRUNC(D9+D9*$N$5)</f>
        <v>175660</v>
      </c>
      <c r="I9" s="1129">
        <f t="shared" si="0"/>
        <v>294362</v>
      </c>
      <c r="J9" s="1128">
        <f t="shared" si="0"/>
        <v>159643</v>
      </c>
      <c r="K9" s="1130">
        <f t="shared" si="0"/>
        <v>217505</v>
      </c>
      <c r="L9" s="61"/>
      <c r="N9" s="63"/>
      <c r="P9" s="915">
        <v>5915520</v>
      </c>
      <c r="Q9" s="915">
        <v>6090240</v>
      </c>
      <c r="R9" s="915">
        <v>5482880</v>
      </c>
      <c r="S9" s="915">
        <v>5557760</v>
      </c>
      <c r="T9" s="915"/>
      <c r="U9" s="915">
        <v>295776</v>
      </c>
      <c r="V9" s="915">
        <v>609024</v>
      </c>
      <c r="W9" s="915">
        <f t="shared" ref="W9:W18" si="2">$W$4*R9</f>
        <v>274144</v>
      </c>
      <c r="X9" s="915">
        <v>277888</v>
      </c>
      <c r="AA9" s="915">
        <v>472220</v>
      </c>
      <c r="AB9" s="915">
        <v>384500</v>
      </c>
      <c r="AC9" s="915">
        <v>221000</v>
      </c>
      <c r="AD9" s="915">
        <v>332000</v>
      </c>
      <c r="AF9" s="915">
        <v>654990</v>
      </c>
      <c r="AG9" s="915">
        <v>532250</v>
      </c>
      <c r="AH9" s="915">
        <v>306620</v>
      </c>
      <c r="AI9" s="915">
        <v>459800</v>
      </c>
      <c r="AK9" s="915">
        <v>34600</v>
      </c>
      <c r="AL9" s="915">
        <v>28750</v>
      </c>
      <c r="AM9" s="915">
        <v>17350</v>
      </c>
      <c r="AN9" s="915">
        <v>25090</v>
      </c>
      <c r="AP9" s="510">
        <v>1463770</v>
      </c>
    </row>
    <row r="10" spans="1:43" s="3" customFormat="1" ht="30.75" customHeight="1">
      <c r="A10" s="56"/>
      <c r="B10" s="57" t="s">
        <v>122</v>
      </c>
      <c r="C10" s="12"/>
      <c r="D10" s="1128">
        <v>177381</v>
      </c>
      <c r="E10" s="1129">
        <v>290446</v>
      </c>
      <c r="F10" s="1128">
        <v>168040</v>
      </c>
      <c r="G10" s="1130">
        <v>238698</v>
      </c>
      <c r="H10" s="1128">
        <f t="shared" si="1"/>
        <v>187083</v>
      </c>
      <c r="I10" s="1129">
        <f t="shared" si="0"/>
        <v>306333</v>
      </c>
      <c r="J10" s="1128">
        <f t="shared" si="0"/>
        <v>177231</v>
      </c>
      <c r="K10" s="1130">
        <f t="shared" si="0"/>
        <v>251754</v>
      </c>
      <c r="L10" s="61"/>
      <c r="N10" s="63"/>
      <c r="P10" s="915">
        <v>5915520</v>
      </c>
      <c r="Q10" s="915">
        <v>6090240</v>
      </c>
      <c r="R10" s="915">
        <v>5482880</v>
      </c>
      <c r="S10" s="915">
        <v>5557760</v>
      </c>
      <c r="T10" s="915"/>
      <c r="U10" s="915">
        <v>295776</v>
      </c>
      <c r="V10" s="915">
        <v>609024</v>
      </c>
      <c r="W10" s="915">
        <f t="shared" si="2"/>
        <v>274144</v>
      </c>
      <c r="X10" s="915">
        <v>277888</v>
      </c>
      <c r="AA10" s="915">
        <v>329000</v>
      </c>
      <c r="AB10" s="915">
        <v>287000</v>
      </c>
      <c r="AC10" s="915">
        <v>206000</v>
      </c>
      <c r="AD10" s="915">
        <v>180500</v>
      </c>
      <c r="AF10" s="915">
        <v>455660</v>
      </c>
      <c r="AG10" s="915">
        <v>397700</v>
      </c>
      <c r="AH10" s="915">
        <v>285920</v>
      </c>
      <c r="AI10" s="915">
        <v>250730</v>
      </c>
      <c r="AK10" s="915">
        <v>24710</v>
      </c>
      <c r="AL10" s="915">
        <v>21800</v>
      </c>
      <c r="AM10" s="915">
        <v>16200</v>
      </c>
      <c r="AN10" s="915">
        <v>14430</v>
      </c>
      <c r="AP10" s="510">
        <v>2399460</v>
      </c>
    </row>
    <row r="11" spans="1:43" s="3" customFormat="1" ht="30.75" customHeight="1">
      <c r="A11" s="56"/>
      <c r="B11" s="57" t="s">
        <v>123</v>
      </c>
      <c r="C11" s="12"/>
      <c r="D11" s="1128">
        <v>161646</v>
      </c>
      <c r="E11" s="1129">
        <v>262527</v>
      </c>
      <c r="F11" s="1128">
        <v>166034</v>
      </c>
      <c r="G11" s="1130">
        <v>225315</v>
      </c>
      <c r="H11" s="1128">
        <f t="shared" si="1"/>
        <v>170488</v>
      </c>
      <c r="I11" s="1129">
        <f t="shared" si="0"/>
        <v>276887</v>
      </c>
      <c r="J11" s="1128">
        <f t="shared" si="0"/>
        <v>175116</v>
      </c>
      <c r="K11" s="1130">
        <f t="shared" si="0"/>
        <v>237639</v>
      </c>
      <c r="L11" s="61"/>
      <c r="N11" s="63"/>
      <c r="P11" s="915">
        <v>5915520</v>
      </c>
      <c r="Q11" s="915">
        <v>6090240</v>
      </c>
      <c r="R11" s="915">
        <v>5482880</v>
      </c>
      <c r="S11" s="915">
        <v>5557760</v>
      </c>
      <c r="T11" s="915"/>
      <c r="U11" s="915">
        <v>295776</v>
      </c>
      <c r="V11" s="915">
        <v>609024</v>
      </c>
      <c r="W11" s="915">
        <f t="shared" si="2"/>
        <v>274144</v>
      </c>
      <c r="X11" s="915">
        <v>277888</v>
      </c>
      <c r="AA11" s="510">
        <v>372500</v>
      </c>
      <c r="AB11" s="510">
        <v>209000</v>
      </c>
      <c r="AC11" s="510">
        <v>209000</v>
      </c>
      <c r="AD11" s="510">
        <v>294500</v>
      </c>
      <c r="AE11" s="510"/>
      <c r="AF11" s="510">
        <v>515690</v>
      </c>
      <c r="AG11" s="510">
        <v>290060</v>
      </c>
      <c r="AH11" s="510">
        <v>290000</v>
      </c>
      <c r="AI11" s="510">
        <v>408050</v>
      </c>
      <c r="AJ11" s="510"/>
      <c r="AK11" s="510">
        <v>27720</v>
      </c>
      <c r="AL11" s="510">
        <v>16400</v>
      </c>
      <c r="AM11" s="510">
        <v>16400</v>
      </c>
      <c r="AN11" s="510">
        <v>22320</v>
      </c>
      <c r="AO11" s="510"/>
      <c r="AP11" s="510">
        <v>1135090</v>
      </c>
    </row>
    <row r="12" spans="1:43" s="3" customFormat="1" ht="30.75" customHeight="1">
      <c r="A12" s="56"/>
      <c r="B12" s="57" t="s">
        <v>124</v>
      </c>
      <c r="C12" s="12"/>
      <c r="D12" s="1128">
        <v>175650</v>
      </c>
      <c r="E12" s="1129">
        <v>289942</v>
      </c>
      <c r="F12" s="1128">
        <v>179076</v>
      </c>
      <c r="G12" s="1130">
        <v>225768</v>
      </c>
      <c r="H12" s="1128">
        <f t="shared" si="1"/>
        <v>185258</v>
      </c>
      <c r="I12" s="1129">
        <f t="shared" si="0"/>
        <v>305801</v>
      </c>
      <c r="J12" s="1128">
        <f t="shared" si="0"/>
        <v>188871</v>
      </c>
      <c r="K12" s="1130">
        <f t="shared" si="0"/>
        <v>238117</v>
      </c>
      <c r="L12" s="61"/>
      <c r="N12" s="63"/>
      <c r="P12" s="915">
        <v>6007040</v>
      </c>
      <c r="Q12" s="915">
        <v>6090240</v>
      </c>
      <c r="R12" s="915">
        <v>5482880</v>
      </c>
      <c r="S12" s="915">
        <v>5557760</v>
      </c>
      <c r="T12" s="915"/>
      <c r="U12" s="915">
        <v>300352</v>
      </c>
      <c r="V12" s="915">
        <v>609024</v>
      </c>
      <c r="W12" s="915">
        <f t="shared" si="2"/>
        <v>274144</v>
      </c>
      <c r="X12" s="915">
        <v>277888</v>
      </c>
      <c r="AA12" s="915">
        <v>402500</v>
      </c>
      <c r="AB12" s="915">
        <v>312500</v>
      </c>
      <c r="AC12" s="915">
        <v>227000</v>
      </c>
      <c r="AD12" s="915">
        <v>315500</v>
      </c>
      <c r="AF12" s="915">
        <v>557090</v>
      </c>
      <c r="AG12" s="915">
        <v>432890</v>
      </c>
      <c r="AH12" s="915">
        <v>314900</v>
      </c>
      <c r="AI12" s="915">
        <v>437030</v>
      </c>
      <c r="AK12" s="915">
        <v>29800</v>
      </c>
      <c r="AL12" s="915">
        <v>23570</v>
      </c>
      <c r="AM12" s="915">
        <v>17650</v>
      </c>
      <c r="AN12" s="915">
        <v>23780</v>
      </c>
      <c r="AP12" s="510">
        <v>54710</v>
      </c>
    </row>
    <row r="13" spans="1:43" s="3" customFormat="1" ht="30.75" customHeight="1">
      <c r="A13" s="56"/>
      <c r="B13" s="57" t="s">
        <v>125</v>
      </c>
      <c r="C13" s="12"/>
      <c r="D13" s="1128">
        <v>173922</v>
      </c>
      <c r="E13" s="1129">
        <v>288529</v>
      </c>
      <c r="F13" s="1128">
        <v>169332</v>
      </c>
      <c r="G13" s="1130">
        <v>221653</v>
      </c>
      <c r="H13" s="1128">
        <f t="shared" si="1"/>
        <v>183435</v>
      </c>
      <c r="I13" s="1129">
        <f t="shared" si="0"/>
        <v>304311</v>
      </c>
      <c r="J13" s="1128">
        <f t="shared" si="0"/>
        <v>178594</v>
      </c>
      <c r="K13" s="1130">
        <f t="shared" si="0"/>
        <v>233777</v>
      </c>
      <c r="L13" s="61"/>
      <c r="N13" s="63"/>
      <c r="P13" s="915">
        <v>5915520</v>
      </c>
      <c r="Q13" s="915">
        <v>6090240</v>
      </c>
      <c r="R13" s="915">
        <v>5482880</v>
      </c>
      <c r="S13" s="915">
        <v>5557760</v>
      </c>
      <c r="T13" s="915"/>
      <c r="U13" s="915">
        <v>295776</v>
      </c>
      <c r="V13" s="915">
        <v>609024</v>
      </c>
      <c r="W13" s="915">
        <f t="shared" si="2"/>
        <v>274144</v>
      </c>
      <c r="X13" s="915">
        <v>277888</v>
      </c>
      <c r="AA13" s="915">
        <v>425240</v>
      </c>
      <c r="AB13" s="915">
        <v>291500</v>
      </c>
      <c r="AC13" s="915">
        <v>234500</v>
      </c>
      <c r="AD13" s="915">
        <v>201500</v>
      </c>
      <c r="AF13" s="915">
        <v>588580</v>
      </c>
      <c r="AG13" s="915">
        <v>403910</v>
      </c>
      <c r="AH13" s="915">
        <v>325520</v>
      </c>
      <c r="AI13" s="915">
        <v>279710</v>
      </c>
      <c r="AK13" s="915">
        <v>31360</v>
      </c>
      <c r="AL13" s="915">
        <v>22120</v>
      </c>
      <c r="AM13" s="915">
        <v>18170</v>
      </c>
      <c r="AN13" s="915">
        <v>15880</v>
      </c>
      <c r="AP13" s="510">
        <v>10620</v>
      </c>
    </row>
    <row r="14" spans="1:43" s="3" customFormat="1" ht="30.75" customHeight="1">
      <c r="A14" s="56"/>
      <c r="B14" s="57" t="s">
        <v>126</v>
      </c>
      <c r="C14" s="12"/>
      <c r="D14" s="1128">
        <v>178381</v>
      </c>
      <c r="E14" s="1129">
        <v>301004</v>
      </c>
      <c r="F14" s="1128">
        <v>165054</v>
      </c>
      <c r="G14" s="1130">
        <v>234884</v>
      </c>
      <c r="H14" s="1128">
        <f t="shared" si="1"/>
        <v>188138</v>
      </c>
      <c r="I14" s="1129">
        <f t="shared" si="0"/>
        <v>317468</v>
      </c>
      <c r="J14" s="1128">
        <f t="shared" si="0"/>
        <v>174082</v>
      </c>
      <c r="K14" s="1130">
        <f t="shared" si="0"/>
        <v>247732</v>
      </c>
      <c r="L14" s="61"/>
      <c r="N14" s="63"/>
      <c r="P14" s="915">
        <v>5915520</v>
      </c>
      <c r="Q14" s="915">
        <v>6090240</v>
      </c>
      <c r="R14" s="915">
        <v>5482880</v>
      </c>
      <c r="S14" s="915">
        <v>5557760</v>
      </c>
      <c r="T14" s="915"/>
      <c r="U14" s="915">
        <v>295776</v>
      </c>
      <c r="V14" s="915">
        <v>609024</v>
      </c>
      <c r="W14" s="915">
        <f t="shared" si="2"/>
        <v>274144</v>
      </c>
      <c r="X14" s="915">
        <v>277888</v>
      </c>
      <c r="AA14" s="915">
        <v>398000</v>
      </c>
      <c r="AB14" s="915">
        <v>299000</v>
      </c>
      <c r="AC14" s="915">
        <v>228500</v>
      </c>
      <c r="AD14" s="915">
        <v>305000</v>
      </c>
      <c r="AF14" s="915">
        <v>550880</v>
      </c>
      <c r="AG14" s="915">
        <v>414260</v>
      </c>
      <c r="AH14" s="915">
        <v>316970</v>
      </c>
      <c r="AI14" s="915">
        <v>422540</v>
      </c>
      <c r="AK14" s="915">
        <v>29490</v>
      </c>
      <c r="AL14" s="915">
        <v>22630</v>
      </c>
      <c r="AM14" s="915">
        <v>17750</v>
      </c>
      <c r="AN14" s="915">
        <v>23050</v>
      </c>
      <c r="AP14" s="510">
        <v>304250</v>
      </c>
    </row>
    <row r="15" spans="1:43" s="3" customFormat="1" ht="30.75" customHeight="1">
      <c r="A15" s="56"/>
      <c r="B15" s="57" t="s">
        <v>127</v>
      </c>
      <c r="C15" s="12"/>
      <c r="D15" s="1128">
        <v>177381</v>
      </c>
      <c r="E15" s="1129">
        <v>301204</v>
      </c>
      <c r="F15" s="1128">
        <v>170054</v>
      </c>
      <c r="G15" s="1130">
        <v>234884</v>
      </c>
      <c r="H15" s="1128">
        <f t="shared" si="1"/>
        <v>187083</v>
      </c>
      <c r="I15" s="1129">
        <f t="shared" si="0"/>
        <v>317679</v>
      </c>
      <c r="J15" s="1128">
        <f t="shared" si="0"/>
        <v>179355</v>
      </c>
      <c r="K15" s="1130">
        <f t="shared" si="0"/>
        <v>247732</v>
      </c>
      <c r="L15" s="61"/>
      <c r="N15" s="63"/>
      <c r="P15" s="915">
        <v>5915520</v>
      </c>
      <c r="Q15" s="915">
        <v>6090240</v>
      </c>
      <c r="R15" s="915">
        <v>5482880</v>
      </c>
      <c r="S15" s="915">
        <v>5557760</v>
      </c>
      <c r="T15" s="915"/>
      <c r="U15" s="915">
        <v>295776</v>
      </c>
      <c r="V15" s="915">
        <v>609024</v>
      </c>
      <c r="W15" s="915">
        <f t="shared" si="2"/>
        <v>274144</v>
      </c>
      <c r="X15" s="915">
        <v>277888</v>
      </c>
      <c r="AA15" s="915">
        <v>375500</v>
      </c>
      <c r="AB15" s="915">
        <v>278000</v>
      </c>
      <c r="AC15" s="915">
        <v>261500</v>
      </c>
      <c r="AD15" s="915">
        <v>18870</v>
      </c>
      <c r="AF15" s="915">
        <v>519830</v>
      </c>
      <c r="AG15" s="915">
        <v>385280</v>
      </c>
      <c r="AH15" s="915">
        <v>362510</v>
      </c>
      <c r="AI15" s="915">
        <v>25330</v>
      </c>
      <c r="AK15" s="915">
        <v>27930</v>
      </c>
      <c r="AL15" s="915">
        <v>21180</v>
      </c>
      <c r="AM15" s="915">
        <v>20040</v>
      </c>
      <c r="AN15" s="915">
        <v>1760</v>
      </c>
      <c r="AP15" s="510">
        <v>723780</v>
      </c>
    </row>
    <row r="16" spans="1:43" s="3" customFormat="1" ht="30.75" customHeight="1">
      <c r="A16" s="56"/>
      <c r="B16" s="57" t="s">
        <v>128</v>
      </c>
      <c r="C16" s="12"/>
      <c r="D16" s="1128">
        <v>178381</v>
      </c>
      <c r="E16" s="1129">
        <v>301498</v>
      </c>
      <c r="F16" s="1128">
        <v>168940</v>
      </c>
      <c r="G16" s="1130">
        <v>240698</v>
      </c>
      <c r="H16" s="1128">
        <f t="shared" si="1"/>
        <v>188138</v>
      </c>
      <c r="I16" s="1129">
        <f t="shared" si="0"/>
        <v>317989</v>
      </c>
      <c r="J16" s="1128">
        <f t="shared" si="0"/>
        <v>178181</v>
      </c>
      <c r="K16" s="1130">
        <f t="shared" si="0"/>
        <v>253864</v>
      </c>
      <c r="L16" s="61"/>
      <c r="N16" s="63"/>
      <c r="P16" s="915">
        <v>5915520</v>
      </c>
      <c r="Q16" s="915">
        <v>6090240</v>
      </c>
      <c r="R16" s="915">
        <v>5482880</v>
      </c>
      <c r="S16" s="915">
        <v>5557760</v>
      </c>
      <c r="T16" s="915"/>
      <c r="U16" s="915">
        <v>295776</v>
      </c>
      <c r="V16" s="915">
        <v>609024</v>
      </c>
      <c r="W16" s="915">
        <f t="shared" si="2"/>
        <v>274144</v>
      </c>
      <c r="X16" s="915">
        <v>277888</v>
      </c>
      <c r="AA16" s="915">
        <v>353000</v>
      </c>
      <c r="AB16" s="915">
        <v>276500</v>
      </c>
      <c r="AC16" s="915">
        <v>251000</v>
      </c>
      <c r="AD16" s="915">
        <v>266000</v>
      </c>
      <c r="AF16" s="915">
        <v>488780</v>
      </c>
      <c r="AG16" s="915">
        <v>383210</v>
      </c>
      <c r="AH16" s="915">
        <v>348020</v>
      </c>
      <c r="AI16" s="915">
        <v>368720</v>
      </c>
      <c r="AK16" s="915">
        <v>26370</v>
      </c>
      <c r="AL16" s="915">
        <v>21080</v>
      </c>
      <c r="AM16" s="915">
        <v>19310</v>
      </c>
      <c r="AN16" s="915">
        <v>20350</v>
      </c>
      <c r="AP16" s="510">
        <v>1035090</v>
      </c>
    </row>
    <row r="17" spans="1:42" s="3" customFormat="1" ht="30.75" customHeight="1">
      <c r="A17" s="56"/>
      <c r="B17" s="57" t="s">
        <v>129</v>
      </c>
      <c r="C17" s="12"/>
      <c r="D17" s="1128">
        <v>179381</v>
      </c>
      <c r="E17" s="1129">
        <v>310446</v>
      </c>
      <c r="F17" s="1128">
        <v>169940</v>
      </c>
      <c r="G17" s="1130">
        <v>241698</v>
      </c>
      <c r="H17" s="1128">
        <f t="shared" si="1"/>
        <v>189193</v>
      </c>
      <c r="I17" s="1129">
        <f t="shared" si="0"/>
        <v>327427</v>
      </c>
      <c r="J17" s="1128">
        <f t="shared" si="0"/>
        <v>179235</v>
      </c>
      <c r="K17" s="1130">
        <f t="shared" si="0"/>
        <v>254918</v>
      </c>
      <c r="L17" s="61"/>
      <c r="N17" s="63"/>
      <c r="P17" s="915">
        <v>5915520</v>
      </c>
      <c r="Q17" s="915">
        <v>6090240</v>
      </c>
      <c r="R17" s="915">
        <v>5482880</v>
      </c>
      <c r="S17" s="915">
        <v>5557760</v>
      </c>
      <c r="T17" s="915"/>
      <c r="U17" s="915">
        <v>295776</v>
      </c>
      <c r="V17" s="915">
        <v>609024</v>
      </c>
      <c r="W17" s="915">
        <f t="shared" si="2"/>
        <v>274144</v>
      </c>
      <c r="X17" s="915">
        <v>277888</v>
      </c>
      <c r="AA17" s="915">
        <v>356000</v>
      </c>
      <c r="AB17" s="915">
        <v>336500</v>
      </c>
      <c r="AC17" s="915">
        <v>261500</v>
      </c>
      <c r="AD17" s="915">
        <v>333500</v>
      </c>
      <c r="AF17" s="915">
        <v>492920</v>
      </c>
      <c r="AG17" s="915">
        <v>466010</v>
      </c>
      <c r="AH17" s="915">
        <v>362510</v>
      </c>
      <c r="AI17" s="915">
        <v>461870</v>
      </c>
      <c r="AK17" s="915">
        <v>26580</v>
      </c>
      <c r="AL17" s="915">
        <v>25230</v>
      </c>
      <c r="AM17" s="915">
        <v>20040</v>
      </c>
      <c r="AN17" s="915">
        <v>25020</v>
      </c>
      <c r="AP17" s="510">
        <v>343840</v>
      </c>
    </row>
    <row r="18" spans="1:42" s="3" customFormat="1" ht="30.75" customHeight="1">
      <c r="A18" s="56"/>
      <c r="B18" s="57" t="s">
        <v>130</v>
      </c>
      <c r="C18" s="12"/>
      <c r="D18" s="1128">
        <v>175650</v>
      </c>
      <c r="E18" s="1129">
        <v>309942</v>
      </c>
      <c r="F18" s="1128">
        <v>179076</v>
      </c>
      <c r="G18" s="1130">
        <v>235768</v>
      </c>
      <c r="H18" s="1128">
        <f t="shared" si="1"/>
        <v>185258</v>
      </c>
      <c r="I18" s="1129">
        <f t="shared" si="0"/>
        <v>326895</v>
      </c>
      <c r="J18" s="1128">
        <f t="shared" si="0"/>
        <v>188871</v>
      </c>
      <c r="K18" s="1130">
        <f t="shared" si="0"/>
        <v>248664</v>
      </c>
      <c r="L18" s="61"/>
      <c r="N18" s="63"/>
      <c r="P18" s="915">
        <v>5915520</v>
      </c>
      <c r="Q18" s="915">
        <v>6090240</v>
      </c>
      <c r="R18" s="915">
        <v>5482880</v>
      </c>
      <c r="S18" s="915">
        <v>5557760</v>
      </c>
      <c r="T18" s="915"/>
      <c r="U18" s="915">
        <v>295776</v>
      </c>
      <c r="V18" s="915">
        <v>609024</v>
      </c>
      <c r="W18" s="915">
        <f t="shared" si="2"/>
        <v>274144</v>
      </c>
      <c r="X18" s="915">
        <v>277888</v>
      </c>
      <c r="AA18" s="915">
        <v>159500</v>
      </c>
      <c r="AB18" s="915">
        <v>306500</v>
      </c>
      <c r="AC18" s="915">
        <v>246500</v>
      </c>
      <c r="AD18" s="915">
        <v>228500</v>
      </c>
      <c r="AF18" s="915">
        <v>221750</v>
      </c>
      <c r="AG18" s="915">
        <v>424610</v>
      </c>
      <c r="AH18" s="915">
        <v>341810</v>
      </c>
      <c r="AI18" s="915">
        <v>316970</v>
      </c>
      <c r="AK18" s="915">
        <v>12980</v>
      </c>
      <c r="AL18" s="915">
        <v>23150</v>
      </c>
      <c r="AM18" s="915">
        <v>19000</v>
      </c>
      <c r="AN18" s="915">
        <v>17750</v>
      </c>
      <c r="AP18" s="510">
        <v>49210</v>
      </c>
    </row>
    <row r="19" spans="1:42" s="3" customFormat="1" ht="30.75" customHeight="1">
      <c r="A19" s="56"/>
      <c r="B19" s="57" t="s">
        <v>131</v>
      </c>
      <c r="C19" s="12"/>
      <c r="D19" s="1128">
        <v>180922</v>
      </c>
      <c r="E19" s="1129">
        <v>308529</v>
      </c>
      <c r="F19" s="1128">
        <v>169332</v>
      </c>
      <c r="G19" s="1130">
        <v>231653</v>
      </c>
      <c r="H19" s="1128">
        <f t="shared" si="1"/>
        <v>190818</v>
      </c>
      <c r="I19" s="1129">
        <f t="shared" si="0"/>
        <v>325405</v>
      </c>
      <c r="J19" s="1128">
        <f t="shared" si="0"/>
        <v>178594</v>
      </c>
      <c r="K19" s="1130">
        <f t="shared" si="0"/>
        <v>244324</v>
      </c>
      <c r="L19" s="61"/>
      <c r="N19" s="63"/>
      <c r="P19" s="915"/>
      <c r="Q19" s="915"/>
      <c r="R19" s="915"/>
      <c r="S19" s="915"/>
      <c r="T19" s="915"/>
      <c r="U19" s="915"/>
      <c r="V19" s="915"/>
      <c r="W19" s="915"/>
      <c r="X19" s="915"/>
      <c r="AA19" s="915">
        <v>215000</v>
      </c>
      <c r="AB19" s="915">
        <v>312500</v>
      </c>
      <c r="AC19" s="915">
        <v>276500</v>
      </c>
      <c r="AD19" s="915">
        <v>360500</v>
      </c>
      <c r="AF19" s="915">
        <v>298340</v>
      </c>
      <c r="AG19" s="915">
        <v>432890</v>
      </c>
      <c r="AH19" s="915">
        <v>383210</v>
      </c>
      <c r="AI19" s="915">
        <v>499130</v>
      </c>
      <c r="AK19" s="915">
        <v>16820</v>
      </c>
      <c r="AL19" s="915">
        <v>23570</v>
      </c>
      <c r="AM19" s="915">
        <v>21080</v>
      </c>
      <c r="AN19" s="915">
        <v>26890</v>
      </c>
      <c r="AP19" s="510">
        <v>334790</v>
      </c>
    </row>
    <row r="20" spans="1:42" ht="30.75" customHeight="1" thickBot="1">
      <c r="A20" s="50"/>
      <c r="B20" s="52"/>
      <c r="C20" s="52"/>
      <c r="D20" s="325"/>
      <c r="E20" s="326"/>
      <c r="F20" s="327"/>
      <c r="G20" s="64"/>
      <c r="H20" s="17"/>
      <c r="I20" s="279"/>
      <c r="J20" s="294"/>
      <c r="K20" s="328"/>
      <c r="L20" s="66"/>
      <c r="P20" s="39"/>
      <c r="Q20" s="39"/>
      <c r="R20" s="39"/>
      <c r="S20" s="39"/>
      <c r="T20" s="39"/>
      <c r="U20" s="39"/>
      <c r="V20" s="39"/>
      <c r="W20" s="39"/>
      <c r="X20" s="39"/>
      <c r="AA20" s="39"/>
      <c r="AB20" s="39"/>
      <c r="AC20" s="39"/>
      <c r="AD20" s="39"/>
      <c r="AF20" s="39"/>
      <c r="AG20" s="39"/>
      <c r="AH20" s="39"/>
      <c r="AI20" s="39"/>
      <c r="AK20" s="39"/>
      <c r="AL20" s="39"/>
      <c r="AM20" s="39"/>
      <c r="AN20" s="39"/>
    </row>
    <row r="21" spans="1:42" ht="29.25" customHeight="1" thickBot="1">
      <c r="A21" s="50"/>
      <c r="B21" s="52" t="s">
        <v>566</v>
      </c>
      <c r="C21" s="52"/>
      <c r="D21" s="65">
        <f>SUM(D8:D20)</f>
        <v>2098704</v>
      </c>
      <c r="E21" s="65">
        <f t="shared" ref="E21:K21" si="3">SUM(E8:E20)</f>
        <v>3543167</v>
      </c>
      <c r="F21" s="65">
        <f t="shared" si="3"/>
        <v>2021296</v>
      </c>
      <c r="G21" s="329">
        <f t="shared" si="3"/>
        <v>2772128</v>
      </c>
      <c r="H21" s="330">
        <f t="shared" si="3"/>
        <v>2213499</v>
      </c>
      <c r="I21" s="331">
        <f t="shared" si="3"/>
        <v>3736971</v>
      </c>
      <c r="J21" s="331">
        <f t="shared" si="3"/>
        <v>2131855</v>
      </c>
      <c r="K21" s="332">
        <f t="shared" si="3"/>
        <v>2923758</v>
      </c>
      <c r="L21" s="333"/>
      <c r="N21" s="343">
        <v>8156.5</v>
      </c>
      <c r="P21" s="39">
        <f>SUM(P8:P20)</f>
        <v>69741997</v>
      </c>
      <c r="Q21" s="39">
        <f t="shared" ref="Q21:X21" si="4">SUM(Q8:Q20)</f>
        <v>71707664</v>
      </c>
      <c r="R21" s="39">
        <f t="shared" si="4"/>
        <v>64556490</v>
      </c>
      <c r="S21" s="39">
        <f t="shared" si="4"/>
        <v>65438141</v>
      </c>
      <c r="T21" s="39" t="s">
        <v>1079</v>
      </c>
      <c r="U21" s="39">
        <f t="shared" si="4"/>
        <v>3487099</v>
      </c>
      <c r="V21" s="39">
        <f t="shared" si="4"/>
        <v>7170766</v>
      </c>
      <c r="W21" s="39">
        <f t="shared" si="4"/>
        <v>3227824.5</v>
      </c>
      <c r="X21" s="39">
        <f t="shared" si="4"/>
        <v>3271907</v>
      </c>
      <c r="AA21" s="39">
        <f t="shared" ref="AA21" si="5">SUM(AA8:AA20)</f>
        <v>4304760</v>
      </c>
      <c r="AB21" s="39">
        <f t="shared" ref="AB21" si="6">SUM(AB8:AB20)</f>
        <v>3580500</v>
      </c>
      <c r="AC21" s="39">
        <f t="shared" ref="AC21" si="7">SUM(AC8:AC20)</f>
        <v>2862000</v>
      </c>
      <c r="AD21" s="39">
        <f t="shared" ref="AD21" si="8">SUM(AD8:AD20)</f>
        <v>3207370</v>
      </c>
      <c r="AF21" s="39">
        <f t="shared" ref="AF21" si="9">SUM(AF8:AF20)</f>
        <v>5962860</v>
      </c>
      <c r="AG21" s="39">
        <f t="shared" ref="AG21" si="10">SUM(AG8:AG20)</f>
        <v>4960770</v>
      </c>
      <c r="AH21" s="39">
        <f t="shared" ref="AH21" si="11">SUM(AH8:AH20)</f>
        <v>3969450</v>
      </c>
      <c r="AI21" s="39">
        <f t="shared" ref="AI21" si="12">SUM(AI8:AI20)</f>
        <v>4443500</v>
      </c>
      <c r="AK21" s="39">
        <f t="shared" ref="AK21" si="13">SUM(AK8:AK20)</f>
        <v>321290</v>
      </c>
      <c r="AL21" s="39">
        <f t="shared" ref="AL21" si="14">SUM(AL8:AL20)</f>
        <v>271430</v>
      </c>
      <c r="AM21" s="39">
        <f t="shared" ref="AM21" si="15">SUM(AM8:AM20)</f>
        <v>221590</v>
      </c>
      <c r="AN21" s="39">
        <f t="shared" ref="AN21:AP21" si="16">SUM(AN8:AN20)</f>
        <v>244130</v>
      </c>
      <c r="AP21" s="343">
        <f t="shared" si="16"/>
        <v>8792010</v>
      </c>
    </row>
    <row r="22" spans="1:42" ht="17.25" customHeight="1">
      <c r="A22" s="43" t="s">
        <v>1072</v>
      </c>
      <c r="P22" s="1743">
        <f>SUM(P21:S21)</f>
        <v>271444292</v>
      </c>
      <c r="Q22" s="1743"/>
      <c r="R22" s="1743"/>
      <c r="S22" s="1743"/>
      <c r="T22" s="39"/>
      <c r="U22" s="1742">
        <f>SUM(U21:X21)</f>
        <v>17157596.5</v>
      </c>
      <c r="V22" s="1469"/>
      <c r="W22" s="1469"/>
      <c r="X22" s="1469"/>
      <c r="AA22" s="1742">
        <f>SUM(AA21:AD21)</f>
        <v>13954630</v>
      </c>
      <c r="AB22" s="1469"/>
      <c r="AC22" s="1469"/>
      <c r="AD22" s="1469"/>
      <c r="AF22" s="1742">
        <f>SUM(AF21:AI21)</f>
        <v>19336580</v>
      </c>
      <c r="AG22" s="1469"/>
      <c r="AH22" s="1469"/>
      <c r="AI22" s="1469"/>
      <c r="AK22" s="1742">
        <f>SUM(AK21:AN21)</f>
        <v>1058440</v>
      </c>
      <c r="AL22" s="1469"/>
      <c r="AM22" s="1469"/>
      <c r="AN22" s="1469"/>
    </row>
    <row r="23" spans="1:42" ht="17.25" customHeight="1">
      <c r="A23" s="43" t="s">
        <v>1073</v>
      </c>
    </row>
    <row r="26" spans="1:42">
      <c r="H26" s="57">
        <f>H21-$N$21</f>
        <v>2205342.5</v>
      </c>
      <c r="I26" s="34">
        <f t="shared" ref="I26:K26" si="17">I21-$N$21</f>
        <v>3728814.5</v>
      </c>
      <c r="J26" s="34">
        <f t="shared" si="17"/>
        <v>2123698.5</v>
      </c>
      <c r="K26" s="34">
        <f t="shared" si="17"/>
        <v>2915601.5</v>
      </c>
    </row>
  </sheetData>
  <mergeCells count="7">
    <mergeCell ref="AF22:AI22"/>
    <mergeCell ref="AK22:AN22"/>
    <mergeCell ref="B5:B6"/>
    <mergeCell ref="L5:L6"/>
    <mergeCell ref="P22:S22"/>
    <mergeCell ref="U22:X22"/>
    <mergeCell ref="AA22:AD22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1" orientation="portrait" r:id="rId1"/>
  <headerFooter alignWithMargins="0">
    <oddFooter>&amp;C&amp;"바탕체,보통"&amp;13- &amp;P -</oddFooter>
  </headerFooter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view="pageBreakPreview" topLeftCell="A8" zoomScaleNormal="100" zoomScaleSheetLayoutView="100" workbookViewId="0">
      <selection activeCell="T19" sqref="T19"/>
    </sheetView>
  </sheetViews>
  <sheetFormatPr defaultRowHeight="12"/>
  <cols>
    <col min="1" max="1" width="1.33203125" style="278" customWidth="1"/>
    <col min="2" max="2" width="12.33203125" style="278" customWidth="1"/>
    <col min="3" max="3" width="1.33203125" style="278" customWidth="1"/>
    <col min="4" max="4" width="22.33203125" style="278" customWidth="1"/>
    <col min="5" max="5" width="6.77734375" style="39" bestFit="1" customWidth="1"/>
    <col min="6" max="6" width="10.44140625" style="279" customWidth="1"/>
    <col min="7" max="7" width="12" style="39" customWidth="1"/>
    <col min="8" max="8" width="12.33203125" style="39" customWidth="1"/>
    <col min="9" max="9" width="0.44140625" style="39" customWidth="1"/>
    <col min="10" max="10" width="20.33203125" style="279" customWidth="1"/>
    <col min="11" max="11" width="5.109375" style="34" customWidth="1"/>
    <col min="12" max="16384" width="8.88671875" style="34"/>
  </cols>
  <sheetData>
    <row r="1" spans="1:16" ht="20.100000000000001" customHeight="1">
      <c r="A1" s="1" t="str">
        <f>"[ 표 : "&amp;K1&amp;" ] "</f>
        <v xml:space="preserve">[ 표 : 39 ] </v>
      </c>
      <c r="K1" s="34">
        <f>전력사용량!M1+1</f>
        <v>39</v>
      </c>
    </row>
    <row r="2" spans="1:16" s="36" customFormat="1" ht="39.950000000000003" customHeight="1">
      <c r="A2" s="35" t="s">
        <v>533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6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6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6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6" ht="39.7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</row>
    <row r="7" spans="1:16" s="12" customFormat="1" ht="39.75" customHeight="1">
      <c r="A7" s="315"/>
      <c r="B7" s="69" t="s">
        <v>510</v>
      </c>
      <c r="C7" s="316"/>
      <c r="D7" s="316"/>
      <c r="E7" s="17"/>
      <c r="F7" s="58"/>
      <c r="G7" s="17"/>
      <c r="H7" s="303"/>
      <c r="I7" s="298"/>
      <c r="J7" s="303"/>
    </row>
    <row r="8" spans="1:16" s="12" customFormat="1" ht="39.75" customHeight="1">
      <c r="A8" s="298"/>
      <c r="B8" s="318" t="s">
        <v>509</v>
      </c>
      <c r="C8" s="300"/>
      <c r="D8" s="301" t="s">
        <v>511</v>
      </c>
      <c r="E8" s="17" t="s">
        <v>518</v>
      </c>
      <c r="F8" s="319">
        <v>12</v>
      </c>
      <c r="G8" s="320">
        <v>16300</v>
      </c>
      <c r="H8" s="303">
        <f>TRUNC(G8*F8)</f>
        <v>195600</v>
      </c>
      <c r="I8" s="298"/>
      <c r="J8" s="321" t="s">
        <v>775</v>
      </c>
    </row>
    <row r="9" spans="1:16" s="12" customFormat="1" ht="39.75" customHeight="1">
      <c r="A9" s="298"/>
      <c r="B9" s="299"/>
      <c r="C9" s="300"/>
      <c r="D9" s="301"/>
      <c r="E9" s="17" t="s">
        <v>518</v>
      </c>
      <c r="F9" s="319">
        <v>36</v>
      </c>
      <c r="G9" s="320">
        <v>10250</v>
      </c>
      <c r="H9" s="303">
        <f>TRUNC(G9*F9)</f>
        <v>369000</v>
      </c>
      <c r="I9" s="298"/>
      <c r="J9" s="321" t="s">
        <v>776</v>
      </c>
      <c r="L9" s="916"/>
      <c r="P9" s="916"/>
    </row>
    <row r="10" spans="1:16" s="12" customFormat="1" ht="39.75" customHeight="1">
      <c r="A10" s="298"/>
      <c r="B10" s="299"/>
      <c r="C10" s="300"/>
      <c r="D10" s="301" t="s">
        <v>498</v>
      </c>
      <c r="E10" s="17" t="s">
        <v>517</v>
      </c>
      <c r="F10" s="319">
        <v>21600</v>
      </c>
      <c r="G10" s="320">
        <v>646</v>
      </c>
      <c r="H10" s="303">
        <f>TRUNC(G10*F10)</f>
        <v>13953600</v>
      </c>
      <c r="I10" s="298"/>
      <c r="J10" s="304" t="s">
        <v>777</v>
      </c>
    </row>
    <row r="11" spans="1:16" s="12" customFormat="1" ht="39.75" customHeight="1">
      <c r="A11" s="298"/>
      <c r="B11" s="299"/>
      <c r="C11" s="300"/>
      <c r="D11" s="301" t="s">
        <v>512</v>
      </c>
      <c r="E11" s="17" t="s">
        <v>517</v>
      </c>
      <c r="F11" s="319">
        <v>21600</v>
      </c>
      <c r="G11" s="320">
        <v>49</v>
      </c>
      <c r="H11" s="303">
        <f>TRUNC(G11*F11)</f>
        <v>1058400</v>
      </c>
      <c r="I11" s="298"/>
      <c r="J11" s="304" t="s">
        <v>777</v>
      </c>
    </row>
    <row r="12" spans="1:16" s="12" customFormat="1" ht="39.75" customHeight="1">
      <c r="A12" s="298"/>
      <c r="B12" s="299" t="s">
        <v>513</v>
      </c>
      <c r="C12" s="300"/>
      <c r="D12" s="301" t="s">
        <v>498</v>
      </c>
      <c r="E12" s="17" t="s">
        <v>517</v>
      </c>
      <c r="F12" s="319">
        <v>21600</v>
      </c>
      <c r="G12" s="320">
        <v>895</v>
      </c>
      <c r="H12" s="303">
        <f>TRUNC(G12*F12)</f>
        <v>19332000</v>
      </c>
      <c r="I12" s="298"/>
      <c r="J12" s="304" t="s">
        <v>778</v>
      </c>
    </row>
    <row r="13" spans="1:16" s="12" customFormat="1" ht="39.75" customHeight="1">
      <c r="A13" s="298"/>
      <c r="B13" s="299" t="s">
        <v>514</v>
      </c>
      <c r="C13" s="300"/>
      <c r="D13" s="301"/>
      <c r="E13" s="17"/>
      <c r="F13" s="319"/>
      <c r="G13" s="320"/>
      <c r="H13" s="303"/>
      <c r="I13" s="298"/>
      <c r="J13" s="304"/>
      <c r="L13" s="916"/>
      <c r="P13" s="916"/>
    </row>
    <row r="14" spans="1:16" s="12" customFormat="1" ht="39.75" customHeight="1">
      <c r="A14" s="298"/>
      <c r="B14" s="299" t="s">
        <v>515</v>
      </c>
      <c r="C14" s="300"/>
      <c r="D14" s="301" t="s">
        <v>516</v>
      </c>
      <c r="E14" s="17" t="s">
        <v>630</v>
      </c>
      <c r="F14" s="319">
        <v>5400</v>
      </c>
      <c r="G14" s="320">
        <v>1628.15</v>
      </c>
      <c r="H14" s="303">
        <f>TRUNC(G14*F14)</f>
        <v>8792010</v>
      </c>
      <c r="I14" s="298"/>
      <c r="J14" s="304" t="s">
        <v>779</v>
      </c>
    </row>
    <row r="15" spans="1:16" s="12" customFormat="1" ht="39.75" customHeight="1">
      <c r="A15" s="298"/>
      <c r="B15" s="299"/>
      <c r="C15" s="300"/>
      <c r="D15" s="301"/>
      <c r="E15" s="17"/>
      <c r="F15" s="302"/>
      <c r="G15" s="17"/>
      <c r="H15" s="303"/>
      <c r="I15" s="298"/>
      <c r="J15" s="304"/>
    </row>
    <row r="16" spans="1:16" s="12" customFormat="1" ht="39.75" customHeight="1">
      <c r="A16" s="298"/>
      <c r="B16" s="299"/>
      <c r="C16" s="300"/>
      <c r="D16" s="301"/>
      <c r="E16" s="17"/>
      <c r="F16" s="302"/>
      <c r="G16" s="17"/>
      <c r="H16" s="303"/>
      <c r="I16" s="298"/>
      <c r="J16" s="304"/>
    </row>
    <row r="17" spans="1:10" ht="50.1" customHeight="1">
      <c r="A17" s="47"/>
      <c r="B17" s="48" t="s">
        <v>308</v>
      </c>
      <c r="C17" s="305"/>
      <c r="D17" s="306"/>
      <c r="E17" s="307"/>
      <c r="F17" s="75"/>
      <c r="G17" s="307"/>
      <c r="H17" s="307">
        <f>SUM(H8:H16)</f>
        <v>43700610</v>
      </c>
      <c r="I17" s="75"/>
      <c r="J17" s="308"/>
    </row>
    <row r="18" spans="1:10" ht="50.1" customHeight="1">
      <c r="A18" s="47"/>
      <c r="B18" s="48" t="s">
        <v>310</v>
      </c>
      <c r="C18" s="305"/>
      <c r="D18" s="306"/>
      <c r="E18" s="307"/>
      <c r="F18" s="75"/>
      <c r="G18" s="307"/>
      <c r="H18" s="307">
        <f>TRUNC(H17/12)</f>
        <v>3641717</v>
      </c>
      <c r="I18" s="75"/>
      <c r="J18" s="309" t="s">
        <v>309</v>
      </c>
    </row>
    <row r="19" spans="1:10" s="255" customFormat="1" ht="19.5" customHeight="1">
      <c r="A19" s="43" t="s">
        <v>635</v>
      </c>
      <c r="E19" s="310"/>
      <c r="F19" s="310"/>
      <c r="G19" s="310"/>
      <c r="H19" s="311"/>
      <c r="I19" s="311"/>
      <c r="J19" s="311"/>
    </row>
    <row r="20" spans="1:10" s="312" customFormat="1" ht="19.5" customHeight="1">
      <c r="A20" s="43"/>
      <c r="F20" s="313"/>
    </row>
    <row r="21" spans="1:10" ht="19.5" customHeight="1">
      <c r="A21" s="43"/>
    </row>
    <row r="23" spans="1:10">
      <c r="A23" s="43"/>
    </row>
    <row r="25" spans="1:10">
      <c r="H25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74" firstPageNumber="141" orientation="portrait" r:id="rId1"/>
  <headerFooter alignWithMargins="0">
    <oddFooter>&amp;C&amp;"바탕체,보통"&amp;12- &amp;P -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view="pageBreakPreview" topLeftCell="A7" zoomScaleNormal="100" zoomScaleSheetLayoutView="100" workbookViewId="0">
      <selection activeCell="H18" sqref="H18"/>
    </sheetView>
  </sheetViews>
  <sheetFormatPr defaultRowHeight="12"/>
  <cols>
    <col min="1" max="1" width="1.33203125" style="278" customWidth="1"/>
    <col min="2" max="2" width="11.33203125" style="278" customWidth="1"/>
    <col min="3" max="3" width="1.33203125" style="278" customWidth="1"/>
    <col min="4" max="4" width="19.5546875" style="278" customWidth="1"/>
    <col min="5" max="5" width="5.88671875" style="39" customWidth="1"/>
    <col min="6" max="6" width="9.21875" style="279" customWidth="1"/>
    <col min="7" max="8" width="11.44140625" style="39" customWidth="1"/>
    <col min="9" max="9" width="0.44140625" style="39" customWidth="1"/>
    <col min="10" max="10" width="14" style="279" customWidth="1"/>
    <col min="11" max="11" width="5.109375" style="34" customWidth="1"/>
    <col min="12" max="16384" width="8.88671875" style="34"/>
  </cols>
  <sheetData>
    <row r="1" spans="1:11" ht="20.100000000000001" customHeight="1">
      <c r="A1" s="1" t="str">
        <f>"[ 표 : "&amp;K1&amp;" ] "</f>
        <v xml:space="preserve">[ 표 : 40 ] </v>
      </c>
      <c r="K1" s="34">
        <f>'변동-대)수도광열비'!K1+1</f>
        <v>40</v>
      </c>
    </row>
    <row r="2" spans="1:11" s="36" customFormat="1" ht="39.950000000000003" customHeight="1">
      <c r="A2" s="35" t="s">
        <v>468</v>
      </c>
      <c r="B2" s="35"/>
      <c r="C2" s="35"/>
      <c r="D2" s="35"/>
      <c r="E2" s="41"/>
      <c r="F2" s="280"/>
      <c r="G2" s="281"/>
      <c r="H2" s="41"/>
      <c r="I2" s="41"/>
      <c r="J2" s="282"/>
    </row>
    <row r="3" spans="1:11" s="36" customFormat="1" ht="20.100000000000001" customHeight="1">
      <c r="A3" s="35"/>
      <c r="B3" s="35"/>
      <c r="C3" s="35"/>
      <c r="D3" s="35"/>
      <c r="E3" s="41"/>
      <c r="F3" s="280"/>
      <c r="G3" s="281"/>
      <c r="H3" s="41"/>
      <c r="I3" s="41"/>
      <c r="J3" s="282"/>
    </row>
    <row r="4" spans="1:11" ht="20.100000000000001" customHeight="1">
      <c r="A4" s="283"/>
      <c r="B4" s="284"/>
      <c r="C4" s="284"/>
      <c r="D4" s="284"/>
      <c r="E4" s="284"/>
      <c r="F4" s="284"/>
      <c r="G4" s="284"/>
      <c r="H4" s="284"/>
      <c r="J4" s="44" t="s">
        <v>168</v>
      </c>
    </row>
    <row r="5" spans="1:11" s="290" customFormat="1" ht="45.75" customHeight="1">
      <c r="A5" s="285"/>
      <c r="B5" s="286" t="s">
        <v>243</v>
      </c>
      <c r="C5" s="287"/>
      <c r="D5" s="287" t="s">
        <v>446</v>
      </c>
      <c r="E5" s="288" t="s">
        <v>55</v>
      </c>
      <c r="F5" s="289" t="s">
        <v>56</v>
      </c>
      <c r="G5" s="288" t="s">
        <v>57</v>
      </c>
      <c r="H5" s="288" t="s">
        <v>58</v>
      </c>
      <c r="I5" s="1572" t="s">
        <v>59</v>
      </c>
      <c r="J5" s="1573"/>
    </row>
    <row r="6" spans="1:11" ht="43.5" customHeight="1">
      <c r="A6" s="291"/>
      <c r="B6" s="292"/>
      <c r="C6" s="293"/>
      <c r="D6" s="293"/>
      <c r="E6" s="294"/>
      <c r="F6" s="295"/>
      <c r="G6" s="294" t="s">
        <v>140</v>
      </c>
      <c r="H6" s="296"/>
      <c r="I6" s="297"/>
      <c r="J6" s="296"/>
    </row>
    <row r="7" spans="1:11" s="12" customFormat="1" ht="31.5" customHeight="1">
      <c r="A7" s="298"/>
      <c r="B7" s="299" t="s">
        <v>469</v>
      </c>
      <c r="C7" s="300"/>
      <c r="D7" s="301" t="s">
        <v>470</v>
      </c>
      <c r="E7" s="17" t="s">
        <v>456</v>
      </c>
      <c r="F7" s="302">
        <v>1</v>
      </c>
      <c r="G7" s="17">
        <v>9414829</v>
      </c>
      <c r="H7" s="303">
        <f t="shared" ref="H7:H16" si="0">TRUNC(G7*F7)</f>
        <v>9414829</v>
      </c>
      <c r="I7" s="298"/>
      <c r="J7" s="304" t="s">
        <v>764</v>
      </c>
    </row>
    <row r="8" spans="1:11" s="12" customFormat="1" ht="31.5" customHeight="1">
      <c r="A8" s="298"/>
      <c r="B8" s="299"/>
      <c r="C8" s="300"/>
      <c r="D8" s="301" t="s">
        <v>476</v>
      </c>
      <c r="E8" s="17" t="s">
        <v>456</v>
      </c>
      <c r="F8" s="302">
        <v>1</v>
      </c>
      <c r="G8" s="17">
        <v>5424860</v>
      </c>
      <c r="H8" s="303">
        <f t="shared" si="0"/>
        <v>5424860</v>
      </c>
      <c r="I8" s="298"/>
      <c r="J8" s="304" t="s">
        <v>764</v>
      </c>
    </row>
    <row r="9" spans="1:11" s="12" customFormat="1" ht="31.5" customHeight="1">
      <c r="A9" s="298"/>
      <c r="B9" s="299"/>
      <c r="C9" s="300"/>
      <c r="D9" s="301" t="s">
        <v>477</v>
      </c>
      <c r="E9" s="17" t="s">
        <v>456</v>
      </c>
      <c r="F9" s="302">
        <v>1</v>
      </c>
      <c r="G9" s="17">
        <v>5214874</v>
      </c>
      <c r="H9" s="303">
        <f t="shared" si="0"/>
        <v>5214874</v>
      </c>
      <c r="I9" s="298"/>
      <c r="J9" s="304" t="s">
        <v>764</v>
      </c>
    </row>
    <row r="10" spans="1:11" s="12" customFormat="1" ht="31.5" customHeight="1">
      <c r="A10" s="298"/>
      <c r="B10" s="299"/>
      <c r="C10" s="300"/>
      <c r="D10" s="301" t="s">
        <v>478</v>
      </c>
      <c r="E10" s="17" t="s">
        <v>456</v>
      </c>
      <c r="F10" s="302">
        <v>1</v>
      </c>
      <c r="G10" s="17">
        <v>4995104</v>
      </c>
      <c r="H10" s="303">
        <f t="shared" si="0"/>
        <v>4995104</v>
      </c>
      <c r="I10" s="298"/>
      <c r="J10" s="304" t="s">
        <v>764</v>
      </c>
    </row>
    <row r="11" spans="1:11" s="12" customFormat="1" ht="31.5" customHeight="1">
      <c r="A11" s="298"/>
      <c r="B11" s="299" t="s">
        <v>471</v>
      </c>
      <c r="C11" s="300"/>
      <c r="D11" s="301" t="s">
        <v>472</v>
      </c>
      <c r="E11" s="17" t="s">
        <v>456</v>
      </c>
      <c r="F11" s="302">
        <v>1</v>
      </c>
      <c r="G11" s="17">
        <v>9664057</v>
      </c>
      <c r="H11" s="303">
        <f t="shared" si="0"/>
        <v>9664057</v>
      </c>
      <c r="I11" s="298"/>
      <c r="J11" s="304" t="s">
        <v>764</v>
      </c>
    </row>
    <row r="12" spans="1:11" s="12" customFormat="1" ht="31.5" customHeight="1">
      <c r="A12" s="298"/>
      <c r="B12" s="299"/>
      <c r="C12" s="300"/>
      <c r="D12" s="301" t="s">
        <v>473</v>
      </c>
      <c r="E12" s="17" t="s">
        <v>456</v>
      </c>
      <c r="F12" s="302">
        <v>1</v>
      </c>
      <c r="G12" s="17">
        <v>11791300</v>
      </c>
      <c r="H12" s="303">
        <f t="shared" si="0"/>
        <v>11791300</v>
      </c>
      <c r="I12" s="298"/>
      <c r="J12" s="304" t="s">
        <v>764</v>
      </c>
    </row>
    <row r="13" spans="1:11" s="12" customFormat="1" ht="31.5" customHeight="1">
      <c r="A13" s="298"/>
      <c r="B13" s="299"/>
      <c r="C13" s="300"/>
      <c r="D13" s="301" t="s">
        <v>474</v>
      </c>
      <c r="E13" s="17" t="s">
        <v>456</v>
      </c>
      <c r="F13" s="302">
        <v>1</v>
      </c>
      <c r="G13" s="17">
        <v>8499015</v>
      </c>
      <c r="H13" s="303">
        <f t="shared" si="0"/>
        <v>8499015</v>
      </c>
      <c r="I13" s="298"/>
      <c r="J13" s="304" t="s">
        <v>764</v>
      </c>
    </row>
    <row r="14" spans="1:11" s="12" customFormat="1" ht="31.5" customHeight="1">
      <c r="A14" s="298"/>
      <c r="B14" s="299"/>
      <c r="C14" s="300"/>
      <c r="D14" s="301" t="s">
        <v>475</v>
      </c>
      <c r="E14" s="17" t="s">
        <v>456</v>
      </c>
      <c r="F14" s="302">
        <v>1</v>
      </c>
      <c r="G14" s="17">
        <v>7436228</v>
      </c>
      <c r="H14" s="303">
        <f t="shared" si="0"/>
        <v>7436228</v>
      </c>
      <c r="I14" s="298"/>
      <c r="J14" s="304" t="s">
        <v>764</v>
      </c>
    </row>
    <row r="15" spans="1:11" s="12" customFormat="1" ht="43.5" customHeight="1">
      <c r="A15" s="298"/>
      <c r="B15" s="299" t="s">
        <v>1222</v>
      </c>
      <c r="C15" s="300"/>
      <c r="D15" s="301" t="s">
        <v>1223</v>
      </c>
      <c r="E15" s="17" t="s">
        <v>1224</v>
      </c>
      <c r="F15" s="302">
        <v>1</v>
      </c>
      <c r="G15" s="17">
        <v>107233</v>
      </c>
      <c r="H15" s="303">
        <f t="shared" si="0"/>
        <v>107233</v>
      </c>
      <c r="I15" s="298"/>
      <c r="J15" s="304" t="s">
        <v>1227</v>
      </c>
    </row>
    <row r="16" spans="1:11" s="12" customFormat="1" ht="43.5" customHeight="1">
      <c r="A16" s="298"/>
      <c r="B16" s="299" t="s">
        <v>1225</v>
      </c>
      <c r="C16" s="300"/>
      <c r="D16" s="301" t="s">
        <v>1226</v>
      </c>
      <c r="E16" s="17" t="s">
        <v>1224</v>
      </c>
      <c r="F16" s="302">
        <v>1</v>
      </c>
      <c r="G16" s="17">
        <v>7440000</v>
      </c>
      <c r="H16" s="303">
        <f t="shared" si="0"/>
        <v>7440000</v>
      </c>
      <c r="I16" s="298"/>
      <c r="J16" s="304" t="s">
        <v>1227</v>
      </c>
    </row>
    <row r="17" spans="1:12" ht="50.1" customHeight="1">
      <c r="A17" s="47"/>
      <c r="B17" s="48" t="s">
        <v>479</v>
      </c>
      <c r="C17" s="305"/>
      <c r="D17" s="306"/>
      <c r="E17" s="307"/>
      <c r="F17" s="75"/>
      <c r="G17" s="307"/>
      <c r="H17" s="307">
        <f>SUM(H7:H16)</f>
        <v>69987500</v>
      </c>
      <c r="I17" s="75"/>
      <c r="J17" s="308"/>
      <c r="L17" s="918" t="s">
        <v>1083</v>
      </c>
    </row>
    <row r="18" spans="1:12" ht="50.1" customHeight="1">
      <c r="A18" s="47"/>
      <c r="B18" s="48" t="s">
        <v>480</v>
      </c>
      <c r="C18" s="305"/>
      <c r="D18" s="306"/>
      <c r="E18" s="307"/>
      <c r="F18" s="75"/>
      <c r="G18" s="307"/>
      <c r="H18" s="307">
        <f>ROUND(H17/12,0)</f>
        <v>5832292</v>
      </c>
      <c r="I18" s="75"/>
      <c r="J18" s="309" t="s">
        <v>481</v>
      </c>
    </row>
    <row r="19" spans="1:12" s="255" customFormat="1" ht="19.5" customHeight="1">
      <c r="A19" s="43" t="s">
        <v>632</v>
      </c>
      <c r="E19" s="310"/>
      <c r="F19" s="310"/>
      <c r="G19" s="310"/>
      <c r="H19" s="311"/>
      <c r="I19" s="311"/>
      <c r="J19" s="311"/>
    </row>
    <row r="20" spans="1:12" s="312" customFormat="1" ht="19.5" customHeight="1">
      <c r="A20" s="43"/>
      <c r="F20" s="313"/>
    </row>
    <row r="21" spans="1:12" ht="19.5" customHeight="1">
      <c r="A21" s="43"/>
    </row>
    <row r="23" spans="1:12">
      <c r="A23" s="43"/>
    </row>
    <row r="25" spans="1:12">
      <c r="H25" s="314"/>
    </row>
  </sheetData>
  <mergeCells count="1">
    <mergeCell ref="I5:J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scale="86" firstPageNumber="141" orientation="portrait" r:id="rId1"/>
  <headerFooter alignWithMargins="0">
    <oddFooter>&amp;C&amp;"바탕체,보통"- &amp;P -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view="pageBreakPreview" zoomScaleNormal="80" workbookViewId="0">
      <selection activeCell="B8" sqref="B8"/>
    </sheetView>
  </sheetViews>
  <sheetFormatPr defaultRowHeight="27" customHeight="1"/>
  <cols>
    <col min="1" max="4" width="13.109375" style="155" customWidth="1"/>
    <col min="5" max="5" width="8.33203125" style="155" customWidth="1"/>
    <col min="6" max="6" width="13.109375" style="157" customWidth="1"/>
    <col min="7" max="16384" width="8.88671875" style="155"/>
  </cols>
  <sheetData>
    <row r="1" spans="1:7" s="166" customFormat="1" ht="20.100000000000001" customHeight="1">
      <c r="A1" s="1" t="str">
        <f>"[ 표 : "&amp;G1&amp;" ] "</f>
        <v xml:space="preserve">[ 표 : 41 ] </v>
      </c>
      <c r="E1" s="177"/>
      <c r="F1" s="178"/>
      <c r="G1" s="166">
        <f>'변동-대)시설물보험료'!K1+1</f>
        <v>41</v>
      </c>
    </row>
    <row r="2" spans="1:7" s="159" customFormat="1" ht="39.950000000000003" customHeight="1">
      <c r="A2" s="158" t="s">
        <v>40</v>
      </c>
      <c r="B2" s="158"/>
      <c r="C2" s="158"/>
      <c r="D2" s="158"/>
      <c r="E2" s="158"/>
      <c r="F2" s="158"/>
    </row>
    <row r="3" spans="1:7" s="159" customFormat="1" ht="20.100000000000001" customHeight="1">
      <c r="A3" s="158"/>
      <c r="B3" s="158"/>
      <c r="C3" s="158"/>
      <c r="D3" s="158"/>
      <c r="E3" s="158"/>
      <c r="F3" s="158"/>
    </row>
    <row r="4" spans="1:7" ht="20.100000000000001" customHeight="1">
      <c r="A4" s="160"/>
      <c r="B4" s="161"/>
      <c r="C4" s="161"/>
      <c r="D4" s="161"/>
      <c r="E4" s="162"/>
      <c r="F4" s="163" t="s">
        <v>168</v>
      </c>
    </row>
    <row r="5" spans="1:7" s="166" customFormat="1" ht="24.95" customHeight="1">
      <c r="A5" s="1746" t="s">
        <v>156</v>
      </c>
      <c r="B5" s="164" t="s">
        <v>13</v>
      </c>
      <c r="C5" s="164"/>
      <c r="D5" s="164"/>
      <c r="E5" s="1746" t="s">
        <v>14</v>
      </c>
      <c r="F5" s="1744" t="s">
        <v>15</v>
      </c>
    </row>
    <row r="6" spans="1:7" s="166" customFormat="1" ht="24.95" customHeight="1">
      <c r="A6" s="1747"/>
      <c r="B6" s="167" t="s">
        <v>16</v>
      </c>
      <c r="C6" s="167" t="s">
        <v>531</v>
      </c>
      <c r="D6" s="167" t="s">
        <v>132</v>
      </c>
      <c r="E6" s="1747"/>
      <c r="F6" s="1745"/>
    </row>
    <row r="7" spans="1:7" s="166" customFormat="1" ht="60" customHeight="1">
      <c r="A7" s="168"/>
      <c r="B7" s="169" t="s">
        <v>98</v>
      </c>
      <c r="C7" s="169" t="s">
        <v>137</v>
      </c>
      <c r="D7" s="169"/>
      <c r="E7" s="169" t="s">
        <v>466</v>
      </c>
      <c r="F7" s="165"/>
    </row>
    <row r="8" spans="1:7" s="166" customFormat="1" ht="60" customHeight="1">
      <c r="A8" s="171" t="s">
        <v>17</v>
      </c>
      <c r="B8" s="257">
        <f>인건비집계!T25</f>
        <v>96644702</v>
      </c>
      <c r="C8" s="257">
        <f>경비집계!F22</f>
        <v>17198307.457199998</v>
      </c>
      <c r="D8" s="172">
        <f>SUM(B8:C8)</f>
        <v>113843009.45719999</v>
      </c>
      <c r="E8" s="258">
        <f>일반관리비율!$F$18</f>
        <v>9</v>
      </c>
      <c r="F8" s="172">
        <f>TRUNC(D8*E8%,0)</f>
        <v>10245870</v>
      </c>
    </row>
    <row r="9" spans="1:7" s="166" customFormat="1" ht="60" customHeight="1">
      <c r="A9" s="171"/>
      <c r="B9" s="257"/>
      <c r="C9" s="257"/>
      <c r="D9" s="172"/>
      <c r="E9" s="258"/>
      <c r="F9" s="172"/>
    </row>
    <row r="10" spans="1:7" s="166" customFormat="1" ht="45" customHeight="1">
      <c r="A10" s="174" t="s">
        <v>89</v>
      </c>
      <c r="B10" s="175"/>
      <c r="C10" s="175"/>
      <c r="D10" s="175"/>
      <c r="E10" s="259"/>
      <c r="F10" s="175">
        <f>SUM(F8:F9)</f>
        <v>10245870</v>
      </c>
    </row>
    <row r="11" spans="1:7" s="166" customFormat="1" ht="21.75" customHeight="1">
      <c r="A11" s="179" t="str">
        <f>"주 1) " &amp;B6&amp;" : "&amp;인건비집계!A1&amp;""&amp;인건비집계!A2&amp;" 참조"</f>
        <v>주 1) 인건비 : [ 표 : 5 ] 인건비집계표 참조</v>
      </c>
      <c r="E11" s="177"/>
      <c r="F11" s="178"/>
    </row>
    <row r="12" spans="1:7" s="166" customFormat="1" ht="21.75" customHeight="1">
      <c r="A12" s="179" t="str">
        <f>"   2) " &amp;C6&amp;" : "&amp;경비집계!A1&amp;""&amp;경비집계!A2&amp;" 참조"</f>
        <v xml:space="preserve">   2) 고정경비 : [ 표 : 16 ] 경비집계표 참조</v>
      </c>
      <c r="E12" s="177"/>
      <c r="F12" s="178"/>
    </row>
    <row r="13" spans="1:7" s="166" customFormat="1" ht="21.75" customHeight="1">
      <c r="A13" s="1" t="str">
        <f>"   3) " &amp;E5&amp;" : "&amp;일반관리비율!A1&amp;""&amp;일반관리비율!A2&amp;" 참조"</f>
        <v xml:space="preserve">   3) 비율(%) : [ 표 : 42 ] 일반관리비율산출표 참조</v>
      </c>
      <c r="E13" s="177"/>
      <c r="F13" s="178"/>
    </row>
    <row r="14" spans="1:7" s="166" customFormat="1" ht="27" customHeight="1">
      <c r="A14" s="179"/>
      <c r="E14" s="177"/>
      <c r="F14" s="178"/>
    </row>
  </sheetData>
  <mergeCells count="3">
    <mergeCell ref="F5:F6"/>
    <mergeCell ref="A5:A6"/>
    <mergeCell ref="E5:E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view="pageBreakPreview" zoomScaleNormal="90" zoomScaleSheetLayoutView="100" workbookViewId="0">
      <selection activeCell="F18" sqref="F18"/>
    </sheetView>
  </sheetViews>
  <sheetFormatPr defaultRowHeight="23.25" customHeight="1"/>
  <cols>
    <col min="1" max="1" width="1.109375" style="205" customWidth="1"/>
    <col min="2" max="2" width="3" style="205" customWidth="1"/>
    <col min="3" max="3" width="0.6640625" style="205" customWidth="1"/>
    <col min="4" max="4" width="22.88671875" style="205" customWidth="1"/>
    <col min="5" max="5" width="1.33203125" style="205" customWidth="1"/>
    <col min="6" max="6" width="11.77734375" style="236" customWidth="1"/>
    <col min="7" max="7" width="2" style="236" customWidth="1"/>
    <col min="8" max="8" width="13.44140625" style="205" hidden="1" customWidth="1"/>
    <col min="9" max="9" width="1.21875" style="205" hidden="1" customWidth="1"/>
    <col min="10" max="10" width="13.5546875" style="205" bestFit="1" customWidth="1"/>
    <col min="11" max="11" width="1.33203125" style="205" customWidth="1"/>
    <col min="12" max="12" width="16.33203125" style="205" customWidth="1"/>
    <col min="13" max="16384" width="8.88671875" style="205"/>
  </cols>
  <sheetData>
    <row r="1" spans="1:13" ht="20.100000000000001" customHeight="1">
      <c r="A1" s="1" t="str">
        <f>"[ 표 : "&amp;M1&amp;" ] "</f>
        <v xml:space="preserve">[ 표 : 42 ] </v>
      </c>
      <c r="B1" s="204"/>
      <c r="C1" s="204"/>
      <c r="E1" s="204"/>
      <c r="F1" s="206"/>
      <c r="G1" s="206"/>
      <c r="H1" s="207"/>
      <c r="I1" s="207"/>
      <c r="J1" s="207"/>
      <c r="K1" s="207"/>
      <c r="M1" s="205">
        <f>일반관리비!G1+1</f>
        <v>42</v>
      </c>
    </row>
    <row r="2" spans="1:13" s="211" customFormat="1" ht="39.950000000000003" customHeight="1">
      <c r="A2" s="208" t="s">
        <v>19</v>
      </c>
      <c r="B2" s="208"/>
      <c r="C2" s="208"/>
      <c r="D2" s="208"/>
      <c r="E2" s="208"/>
      <c r="F2" s="209"/>
      <c r="G2" s="209"/>
      <c r="H2" s="210"/>
      <c r="I2" s="210"/>
      <c r="J2" s="210"/>
      <c r="K2" s="210"/>
      <c r="L2" s="208"/>
    </row>
    <row r="3" spans="1:13" s="215" customFormat="1" ht="20.100000000000001" customHeight="1">
      <c r="A3" s="212"/>
      <c r="B3" s="212"/>
      <c r="C3" s="212"/>
      <c r="D3" s="212"/>
      <c r="E3" s="212"/>
      <c r="F3" s="213"/>
      <c r="G3" s="213"/>
      <c r="H3" s="214"/>
      <c r="I3" s="214"/>
      <c r="J3" s="214"/>
      <c r="K3" s="214"/>
      <c r="L3" s="212"/>
    </row>
    <row r="4" spans="1:13" s="215" customFormat="1" ht="20.100000000000001" customHeight="1">
      <c r="A4" s="216" t="s">
        <v>295</v>
      </c>
      <c r="B4" s="217"/>
      <c r="C4" s="217"/>
      <c r="D4" s="212"/>
      <c r="E4" s="217"/>
      <c r="F4" s="218"/>
      <c r="G4" s="218"/>
      <c r="H4" s="214"/>
      <c r="I4" s="214"/>
      <c r="J4" s="214"/>
      <c r="K4" s="214"/>
      <c r="L4" s="212"/>
    </row>
    <row r="5" spans="1:13" ht="50.1" customHeight="1">
      <c r="A5" s="219"/>
      <c r="B5" s="1750" t="s">
        <v>20</v>
      </c>
      <c r="C5" s="1750"/>
      <c r="D5" s="1750"/>
      <c r="E5" s="220"/>
      <c r="F5" s="221" t="s">
        <v>294</v>
      </c>
      <c r="G5" s="221"/>
      <c r="H5" s="1748"/>
      <c r="I5" s="1749"/>
      <c r="J5" s="1748" t="s">
        <v>21</v>
      </c>
      <c r="K5" s="1749"/>
      <c r="L5" s="222" t="s">
        <v>22</v>
      </c>
    </row>
    <row r="6" spans="1:13" ht="24.95" customHeight="1">
      <c r="A6" s="223"/>
      <c r="B6" s="224"/>
      <c r="C6" s="225"/>
      <c r="D6" s="225"/>
      <c r="E6" s="226"/>
      <c r="F6" s="227"/>
      <c r="G6" s="227"/>
      <c r="H6" s="228"/>
      <c r="I6" s="229"/>
      <c r="J6" s="228"/>
      <c r="K6" s="229"/>
      <c r="L6" s="230"/>
    </row>
    <row r="7" spans="1:13" ht="24.95" customHeight="1">
      <c r="A7" s="231"/>
      <c r="B7" s="232" t="s">
        <v>23</v>
      </c>
      <c r="C7" s="233"/>
      <c r="D7" s="234" t="s">
        <v>24</v>
      </c>
      <c r="E7" s="235"/>
      <c r="H7" s="237"/>
      <c r="I7" s="238"/>
      <c r="J7" s="237">
        <f>기업분석!F7</f>
        <v>6294686</v>
      </c>
      <c r="K7" s="238"/>
      <c r="L7" s="239" t="s">
        <v>25</v>
      </c>
    </row>
    <row r="8" spans="1:13" ht="24.95" customHeight="1">
      <c r="A8" s="231"/>
      <c r="B8" s="232" t="s">
        <v>26</v>
      </c>
      <c r="C8" s="233"/>
      <c r="D8" s="234" t="s">
        <v>27</v>
      </c>
      <c r="E8" s="235"/>
      <c r="F8" s="237"/>
      <c r="H8" s="237"/>
      <c r="I8" s="238"/>
      <c r="J8" s="237">
        <f>J9-J10</f>
        <v>2926010</v>
      </c>
      <c r="K8" s="238"/>
      <c r="L8" s="239"/>
    </row>
    <row r="9" spans="1:13" ht="24.95" customHeight="1">
      <c r="A9" s="231"/>
      <c r="B9" s="233" t="s">
        <v>142</v>
      </c>
      <c r="C9" s="233"/>
      <c r="D9" s="234" t="s">
        <v>28</v>
      </c>
      <c r="E9" s="235"/>
      <c r="H9" s="237"/>
      <c r="I9" s="238"/>
      <c r="J9" s="237">
        <f>기업분석!F9</f>
        <v>5494762</v>
      </c>
      <c r="K9" s="238"/>
      <c r="L9" s="239"/>
    </row>
    <row r="10" spans="1:13" ht="24.95" customHeight="1">
      <c r="A10" s="231"/>
      <c r="B10" s="233" t="s">
        <v>142</v>
      </c>
      <c r="C10" s="233"/>
      <c r="D10" s="234" t="s">
        <v>29</v>
      </c>
      <c r="E10" s="235"/>
      <c r="H10" s="237"/>
      <c r="I10" s="238"/>
      <c r="J10" s="237">
        <f>SUM(J11:J16)</f>
        <v>2568752</v>
      </c>
      <c r="K10" s="238"/>
      <c r="L10" s="239"/>
    </row>
    <row r="11" spans="1:13" ht="24.95" customHeight="1">
      <c r="A11" s="231"/>
      <c r="B11" s="233"/>
      <c r="C11" s="233"/>
      <c r="D11" s="205" t="s">
        <v>30</v>
      </c>
      <c r="E11" s="235"/>
      <c r="H11" s="237"/>
      <c r="I11" s="238"/>
      <c r="J11" s="237">
        <f>기업분석!F16</f>
        <v>68203</v>
      </c>
      <c r="K11" s="238"/>
      <c r="L11" s="239"/>
    </row>
    <row r="12" spans="1:13" ht="24.95" customHeight="1">
      <c r="A12" s="231"/>
      <c r="B12" s="233"/>
      <c r="C12" s="233"/>
      <c r="D12" s="205" t="s">
        <v>31</v>
      </c>
      <c r="E12" s="235"/>
      <c r="H12" s="237"/>
      <c r="I12" s="238"/>
      <c r="J12" s="237">
        <f>기업분석!F17</f>
        <v>15808</v>
      </c>
      <c r="K12" s="238"/>
      <c r="L12" s="239"/>
    </row>
    <row r="13" spans="1:13" ht="24.95" customHeight="1">
      <c r="A13" s="231"/>
      <c r="B13" s="233"/>
      <c r="C13" s="233"/>
      <c r="D13" s="205" t="s">
        <v>1091</v>
      </c>
      <c r="E13" s="235"/>
      <c r="H13" s="237"/>
      <c r="I13" s="238"/>
      <c r="J13" s="237">
        <f>기업분석!F18</f>
        <v>31231</v>
      </c>
      <c r="K13" s="238"/>
      <c r="L13" s="239"/>
    </row>
    <row r="14" spans="1:13" ht="24.95" customHeight="1">
      <c r="A14" s="231"/>
      <c r="B14" s="233"/>
      <c r="C14" s="233"/>
      <c r="D14" s="205" t="s">
        <v>32</v>
      </c>
      <c r="E14" s="235"/>
      <c r="H14" s="237"/>
      <c r="I14" s="238"/>
      <c r="J14" s="237">
        <f>기업분석!F20</f>
        <v>25090</v>
      </c>
      <c r="K14" s="238"/>
      <c r="L14" s="239"/>
    </row>
    <row r="15" spans="1:13" ht="24.95" customHeight="1">
      <c r="A15" s="231"/>
      <c r="B15" s="233"/>
      <c r="C15" s="233"/>
      <c r="D15" s="205" t="s">
        <v>33</v>
      </c>
      <c r="E15" s="235"/>
      <c r="H15" s="237"/>
      <c r="I15" s="238"/>
      <c r="J15" s="237">
        <f>기업분석!F21</f>
        <v>23770</v>
      </c>
      <c r="K15" s="238"/>
      <c r="L15" s="239"/>
    </row>
    <row r="16" spans="1:13" ht="24.95" customHeight="1">
      <c r="A16" s="231"/>
      <c r="B16" s="233"/>
      <c r="C16" s="233"/>
      <c r="D16" s="205" t="s">
        <v>34</v>
      </c>
      <c r="E16" s="235"/>
      <c r="H16" s="237"/>
      <c r="I16" s="238"/>
      <c r="J16" s="237">
        <f>기업분석!F22</f>
        <v>2404650</v>
      </c>
      <c r="K16" s="238"/>
      <c r="L16" s="239"/>
    </row>
    <row r="17" spans="1:12" ht="24.95" customHeight="1">
      <c r="A17" s="231"/>
      <c r="B17" s="233"/>
      <c r="C17" s="233"/>
      <c r="E17" s="235"/>
      <c r="H17" s="240"/>
      <c r="I17" s="241"/>
      <c r="J17" s="240"/>
      <c r="K17" s="241"/>
      <c r="L17" s="239"/>
    </row>
    <row r="18" spans="1:12" ht="45" customHeight="1">
      <c r="A18" s="242"/>
      <c r="B18" s="243" t="s">
        <v>35</v>
      </c>
      <c r="C18" s="244"/>
      <c r="D18" s="245" t="s">
        <v>36</v>
      </c>
      <c r="E18" s="246"/>
      <c r="F18" s="247">
        <f>'일반-시행규칙'!E8</f>
        <v>9</v>
      </c>
      <c r="G18" s="248"/>
      <c r="H18" s="247"/>
      <c r="I18" s="249"/>
      <c r="J18" s="247">
        <f>TRUNC(J8/J7*100,2)</f>
        <v>46.48</v>
      </c>
      <c r="K18" s="249"/>
      <c r="L18" s="250" t="s">
        <v>37</v>
      </c>
    </row>
    <row r="19" spans="1:12" ht="24.95" customHeight="1">
      <c r="A19" s="204" t="str">
        <f>"주 1) 금액 : "&amp;기업분석!A1&amp;기업분석!A2&amp;" 참조"</f>
        <v>주 1) 금액 : [ 표 : 46 ] 기업경영분석자료 참조</v>
      </c>
      <c r="B19" s="204"/>
      <c r="C19" s="204"/>
      <c r="D19" s="251"/>
      <c r="E19" s="204"/>
      <c r="F19" s="206"/>
      <c r="G19" s="206"/>
    </row>
    <row r="20" spans="1:12" ht="24.95" customHeight="1">
      <c r="A20" s="204" t="s">
        <v>38</v>
      </c>
      <c r="B20" s="204"/>
      <c r="C20" s="204"/>
    </row>
    <row r="21" spans="1:12" ht="24.95" customHeight="1">
      <c r="A21" s="252" t="s">
        <v>39</v>
      </c>
      <c r="B21" s="252"/>
      <c r="C21" s="252"/>
      <c r="D21" s="252"/>
    </row>
    <row r="22" spans="1:12" s="255" customFormat="1" ht="24.95" customHeight="1">
      <c r="A22" s="253" t="s">
        <v>550</v>
      </c>
      <c r="B22" s="254"/>
      <c r="C22" s="254"/>
      <c r="D22" s="254"/>
    </row>
    <row r="23" spans="1:12" s="255" customFormat="1" ht="24.95" customHeight="1">
      <c r="A23" s="253" t="str">
        <f>"   한도율은 "&amp;F18&amp;"%이며, 기업경영분석자료 비율은 "&amp;J18&amp;"%로 발생되어 본 원가산출시 적용 "</f>
        <v xml:space="preserve">   한도율은 9%이며, 기업경영분석자료 비율은 46.48%로 발생되어 본 원가산출시 적용 </v>
      </c>
      <c r="B23" s="253"/>
      <c r="C23" s="253"/>
      <c r="D23" s="253"/>
    </row>
    <row r="24" spans="1:12" ht="23.25" customHeight="1">
      <c r="A24" s="252" t="str">
        <f>"   일반관리비율은 "&amp;MIN(F18,J18)&amp;"%를 적용함"</f>
        <v xml:space="preserve">   일반관리비율은 9%를 적용함</v>
      </c>
      <c r="B24" s="256"/>
      <c r="C24" s="256"/>
      <c r="D24" s="252"/>
    </row>
  </sheetData>
  <mergeCells count="3">
    <mergeCell ref="J5:K5"/>
    <mergeCell ref="B5:D5"/>
    <mergeCell ref="H5:I5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view="pageBreakPreview" zoomScaleNormal="100" zoomScaleSheetLayoutView="100" workbookViewId="0">
      <selection activeCell="E8" sqref="E8"/>
    </sheetView>
  </sheetViews>
  <sheetFormatPr defaultRowHeight="12"/>
  <cols>
    <col min="1" max="1" width="2.77734375" style="180" customWidth="1"/>
    <col min="2" max="2" width="27.109375" style="180" customWidth="1"/>
    <col min="3" max="3" width="2.77734375" style="180" customWidth="1"/>
    <col min="4" max="6" width="13.6640625" style="180" customWidth="1"/>
    <col min="7" max="16384" width="8.88671875" style="180"/>
  </cols>
  <sheetData>
    <row r="1" spans="1:7" ht="20.100000000000001" customHeight="1">
      <c r="A1" s="1" t="str">
        <f>"[ 표 : "&amp;G1&amp;" ] "</f>
        <v xml:space="preserve">[ 표 : 43 ] </v>
      </c>
      <c r="G1" s="180">
        <f>일반관리비율!M1+1</f>
        <v>43</v>
      </c>
    </row>
    <row r="2" spans="1:7" ht="39.950000000000003" customHeight="1">
      <c r="A2" s="181" t="s">
        <v>223</v>
      </c>
      <c r="B2" s="182"/>
      <c r="C2" s="182"/>
      <c r="D2" s="182"/>
      <c r="E2" s="182"/>
      <c r="F2" s="182"/>
      <c r="G2" s="183"/>
    </row>
    <row r="3" spans="1:7" ht="20.100000000000001" customHeight="1">
      <c r="A3" s="184"/>
      <c r="B3" s="182"/>
      <c r="C3" s="182"/>
      <c r="D3" s="182"/>
      <c r="E3" s="182"/>
      <c r="F3" s="182"/>
      <c r="G3" s="183"/>
    </row>
    <row r="4" spans="1:7" ht="20.100000000000001" customHeight="1"/>
    <row r="5" spans="1:7" ht="50.1" customHeight="1">
      <c r="A5" s="185"/>
      <c r="B5" s="186" t="s">
        <v>224</v>
      </c>
      <c r="C5" s="187"/>
      <c r="D5" s="188" t="s">
        <v>225</v>
      </c>
      <c r="E5" s="189" t="s">
        <v>226</v>
      </c>
      <c r="F5" s="190" t="s">
        <v>227</v>
      </c>
    </row>
    <row r="6" spans="1:7" ht="51" customHeight="1">
      <c r="A6" s="191"/>
      <c r="B6" s="192"/>
      <c r="C6" s="193"/>
      <c r="D6" s="194"/>
      <c r="E6" s="194"/>
      <c r="F6" s="194"/>
    </row>
    <row r="7" spans="1:7" ht="51" customHeight="1">
      <c r="A7" s="195"/>
      <c r="B7" s="196" t="s">
        <v>228</v>
      </c>
      <c r="C7" s="194"/>
      <c r="D7" s="197">
        <v>11</v>
      </c>
      <c r="E7" s="197"/>
      <c r="F7" s="198"/>
    </row>
    <row r="8" spans="1:7" ht="51" customHeight="1">
      <c r="A8" s="195"/>
      <c r="B8" s="196" t="s">
        <v>229</v>
      </c>
      <c r="C8" s="194"/>
      <c r="D8" s="197">
        <v>10</v>
      </c>
      <c r="E8" s="197">
        <v>9</v>
      </c>
      <c r="F8" s="199"/>
    </row>
    <row r="9" spans="1:7" ht="51" customHeight="1">
      <c r="A9" s="195"/>
      <c r="B9" s="196" t="s">
        <v>242</v>
      </c>
      <c r="C9" s="194"/>
      <c r="D9" s="197">
        <v>9</v>
      </c>
      <c r="E9" s="197"/>
      <c r="F9" s="199"/>
    </row>
    <row r="10" spans="1:7" ht="51" customHeight="1">
      <c r="A10" s="195"/>
      <c r="B10" s="196" t="s">
        <v>230</v>
      </c>
      <c r="C10" s="194"/>
      <c r="D10" s="197">
        <v>8</v>
      </c>
      <c r="E10" s="197"/>
      <c r="F10" s="199"/>
    </row>
    <row r="11" spans="1:7" ht="51" customHeight="1">
      <c r="A11" s="195"/>
      <c r="B11" s="196" t="s">
        <v>231</v>
      </c>
      <c r="C11" s="194"/>
      <c r="D11" s="197">
        <v>5</v>
      </c>
      <c r="E11" s="197"/>
      <c r="F11" s="199"/>
    </row>
    <row r="12" spans="1:7" ht="51" customHeight="1">
      <c r="A12" s="195"/>
      <c r="B12" s="196" t="s">
        <v>232</v>
      </c>
      <c r="C12" s="194"/>
      <c r="D12" s="197">
        <v>10</v>
      </c>
      <c r="E12" s="197"/>
      <c r="F12" s="199"/>
    </row>
    <row r="13" spans="1:7" ht="51" customHeight="1">
      <c r="A13" s="195"/>
      <c r="B13" s="196" t="s">
        <v>233</v>
      </c>
      <c r="C13" s="194"/>
      <c r="D13" s="197">
        <v>6</v>
      </c>
      <c r="E13" s="197"/>
      <c r="F13" s="199"/>
    </row>
    <row r="14" spans="1:7" ht="51" customHeight="1">
      <c r="A14" s="200"/>
      <c r="B14" s="201"/>
      <c r="C14" s="202"/>
      <c r="D14" s="203"/>
      <c r="E14" s="203"/>
      <c r="F14" s="203"/>
    </row>
    <row r="15" spans="1:7" ht="27.6" customHeight="1">
      <c r="A15" s="180" t="s">
        <v>1092</v>
      </c>
    </row>
    <row r="16" spans="1:7" ht="24" customHeight="1">
      <c r="A16" s="180" t="s">
        <v>293</v>
      </c>
    </row>
  </sheetData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view="pageBreakPreview" zoomScaleNormal="80" workbookViewId="0">
      <selection activeCell="B8" sqref="B8"/>
    </sheetView>
  </sheetViews>
  <sheetFormatPr defaultRowHeight="27" customHeight="1"/>
  <cols>
    <col min="1" max="1" width="10.88671875" style="155" customWidth="1"/>
    <col min="2" max="2" width="11.21875" style="155" customWidth="1"/>
    <col min="3" max="3" width="10.77734375" style="155" bestFit="1" customWidth="1"/>
    <col min="4" max="4" width="11.21875" style="155" bestFit="1" customWidth="1"/>
    <col min="5" max="5" width="11.21875" style="155" customWidth="1"/>
    <col min="6" max="6" width="6.88671875" style="155" bestFit="1" customWidth="1"/>
    <col min="7" max="7" width="11.33203125" style="157" customWidth="1"/>
    <col min="8" max="16384" width="8.88671875" style="155"/>
  </cols>
  <sheetData>
    <row r="1" spans="1:8" ht="20.100000000000001" customHeight="1">
      <c r="A1" s="1" t="str">
        <f>"[ 표 : "&amp;H1&amp;" ] "</f>
        <v xml:space="preserve">[ 표 : 44 ] </v>
      </c>
      <c r="F1" s="156"/>
      <c r="H1" s="155">
        <f>'일반-시행규칙'!G1+1</f>
        <v>44</v>
      </c>
    </row>
    <row r="2" spans="1:8" s="159" customFormat="1" ht="39.950000000000003" customHeight="1">
      <c r="A2" s="158" t="s">
        <v>12</v>
      </c>
      <c r="B2" s="158"/>
      <c r="C2" s="158"/>
      <c r="D2" s="158"/>
      <c r="E2" s="158"/>
      <c r="F2" s="158"/>
      <c r="G2" s="158"/>
    </row>
    <row r="3" spans="1:8" s="159" customFormat="1" ht="20.100000000000001" customHeight="1">
      <c r="A3" s="158"/>
      <c r="B3" s="158"/>
      <c r="C3" s="158"/>
      <c r="D3" s="158"/>
      <c r="E3" s="158"/>
      <c r="F3" s="158"/>
      <c r="G3" s="158"/>
    </row>
    <row r="4" spans="1:8" ht="20.100000000000001" customHeight="1">
      <c r="A4" s="160"/>
      <c r="B4" s="161"/>
      <c r="C4" s="161"/>
      <c r="D4" s="161"/>
      <c r="E4" s="161"/>
      <c r="F4" s="162"/>
      <c r="G4" s="163" t="s">
        <v>168</v>
      </c>
    </row>
    <row r="5" spans="1:8" s="166" customFormat="1" ht="24.95" customHeight="1">
      <c r="A5" s="1746" t="s">
        <v>102</v>
      </c>
      <c r="B5" s="164" t="s">
        <v>13</v>
      </c>
      <c r="C5" s="164"/>
      <c r="D5" s="164"/>
      <c r="E5" s="164"/>
      <c r="F5" s="1746" t="s">
        <v>14</v>
      </c>
      <c r="G5" s="1744" t="s">
        <v>15</v>
      </c>
    </row>
    <row r="6" spans="1:8" s="166" customFormat="1" ht="24.95" customHeight="1">
      <c r="A6" s="1747"/>
      <c r="B6" s="167" t="s">
        <v>16</v>
      </c>
      <c r="C6" s="167" t="s">
        <v>531</v>
      </c>
      <c r="D6" s="167" t="s">
        <v>17</v>
      </c>
      <c r="E6" s="167" t="s">
        <v>132</v>
      </c>
      <c r="F6" s="1747"/>
      <c r="G6" s="1745"/>
    </row>
    <row r="7" spans="1:8" s="166" customFormat="1" ht="60" customHeight="1">
      <c r="A7" s="168"/>
      <c r="B7" s="169" t="s">
        <v>136</v>
      </c>
      <c r="C7" s="169" t="s">
        <v>145</v>
      </c>
      <c r="D7" s="169" t="s">
        <v>146</v>
      </c>
      <c r="E7" s="169"/>
      <c r="F7" s="170" t="s">
        <v>18</v>
      </c>
      <c r="G7" s="165"/>
    </row>
    <row r="8" spans="1:8" s="166" customFormat="1" ht="60" customHeight="1">
      <c r="A8" s="171" t="s">
        <v>314</v>
      </c>
      <c r="B8" s="172">
        <f>일반관리비!B8</f>
        <v>96644702</v>
      </c>
      <c r="C8" s="172">
        <f>일반관리비!C8</f>
        <v>17198307.457199998</v>
      </c>
      <c r="D8" s="172">
        <f>일반관리비!F10</f>
        <v>10245870</v>
      </c>
      <c r="E8" s="172">
        <f>SUM(B8:D8)</f>
        <v>124088879.45719999</v>
      </c>
      <c r="F8" s="173">
        <f>이윤율!$E$8</f>
        <v>10</v>
      </c>
      <c r="G8" s="172">
        <f>TRUNC(E8*F8%,0)</f>
        <v>12408887</v>
      </c>
    </row>
    <row r="9" spans="1:8" s="166" customFormat="1" ht="60" customHeight="1">
      <c r="A9" s="171"/>
      <c r="B9" s="172"/>
      <c r="C9" s="172"/>
      <c r="D9" s="172"/>
      <c r="E9" s="172"/>
      <c r="F9" s="173"/>
      <c r="G9" s="172"/>
    </row>
    <row r="10" spans="1:8" s="166" customFormat="1" ht="45" customHeight="1">
      <c r="A10" s="174" t="s">
        <v>89</v>
      </c>
      <c r="B10" s="175"/>
      <c r="C10" s="175"/>
      <c r="D10" s="175"/>
      <c r="E10" s="175"/>
      <c r="F10" s="176"/>
      <c r="G10" s="175">
        <f>SUM(G8:G9)</f>
        <v>12408887</v>
      </c>
    </row>
    <row r="11" spans="1:8" s="166" customFormat="1" ht="28.5" customHeight="1">
      <c r="A11" s="1" t="str">
        <f>B7&amp;" "&amp;B6&amp;" : "&amp;인건비집계!A1&amp;인건비집계!A2&amp;" 참조"</f>
        <v>주 1) 인건비 : [ 표 : 5 ] 인건비집계표 참조</v>
      </c>
      <c r="F11" s="177"/>
      <c r="G11" s="178"/>
    </row>
    <row r="12" spans="1:8" s="166" customFormat="1" ht="28.5" customHeight="1">
      <c r="A12" s="179" t="str">
        <f>"   2) " &amp;C6&amp;" : "&amp;경비집계!A1&amp;" "&amp;경비집계!A2&amp;" 참조"</f>
        <v xml:space="preserve">   2) 고정경비 : [ 표 : 16 ]  경비집계표 참조</v>
      </c>
      <c r="F12" s="177"/>
      <c r="G12" s="178"/>
    </row>
    <row r="13" spans="1:8" s="166" customFormat="1" ht="28.5" customHeight="1">
      <c r="A13" s="1" t="str">
        <f>"   3) "&amp;D6&amp;" : "&amp;일반관리비!A1&amp;일반관리비!A2&amp;" 참조"</f>
        <v xml:space="preserve">   3) 일반관리비 : [ 표 : 41 ] 일반관리비산출표 참조</v>
      </c>
      <c r="F13" s="177"/>
      <c r="G13" s="178"/>
    </row>
    <row r="14" spans="1:8" s="166" customFormat="1" ht="28.5" customHeight="1">
      <c r="A14" s="1" t="str">
        <f>"   4) "&amp;F5&amp;" : "&amp;이윤율!A1&amp;이윤율!A2&amp;" 참조"</f>
        <v xml:space="preserve">   4) 비율(%) : [ 표 : 45 ] 이윤비율표 참조</v>
      </c>
      <c r="F14" s="177"/>
      <c r="G14" s="178"/>
    </row>
    <row r="15" spans="1:8" s="166" customFormat="1" ht="27" customHeight="1">
      <c r="A15" s="179"/>
      <c r="F15" s="177"/>
      <c r="G15" s="178"/>
    </row>
  </sheetData>
  <mergeCells count="3">
    <mergeCell ref="A5:A6"/>
    <mergeCell ref="F5:F6"/>
    <mergeCell ref="G5:G6"/>
  </mergeCells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12"/>
  <sheetViews>
    <sheetView showGridLines="0" view="pageBreakPreview" zoomScaleNormal="100" zoomScaleSheetLayoutView="100" workbookViewId="0">
      <selection activeCell="G1" sqref="G1"/>
    </sheetView>
  </sheetViews>
  <sheetFormatPr defaultRowHeight="12"/>
  <cols>
    <col min="1" max="1" width="3.77734375" style="133" customWidth="1"/>
    <col min="2" max="2" width="20" style="133" customWidth="1"/>
    <col min="3" max="3" width="3.77734375" style="133" customWidth="1"/>
    <col min="4" max="5" width="13.77734375" style="133" customWidth="1"/>
    <col min="6" max="6" width="18.44140625" style="133" customWidth="1"/>
    <col min="7" max="16384" width="8.88671875" style="133"/>
  </cols>
  <sheetData>
    <row r="1" spans="1:7" ht="24.95" customHeight="1">
      <c r="A1" s="1" t="str">
        <f>"[ 표 : "&amp;G1&amp;" ] "</f>
        <v xml:space="preserve">[ 표 : 45 ] </v>
      </c>
      <c r="G1" s="133">
        <f>이윤!H1+1</f>
        <v>45</v>
      </c>
    </row>
    <row r="2" spans="1:7" s="136" customFormat="1" ht="39.950000000000003" customHeight="1">
      <c r="A2" s="134" t="s">
        <v>3</v>
      </c>
      <c r="B2" s="135"/>
      <c r="C2" s="135"/>
      <c r="D2" s="135"/>
      <c r="E2" s="135"/>
      <c r="F2" s="135"/>
    </row>
    <row r="3" spans="1:7" ht="35.25" customHeight="1"/>
    <row r="4" spans="1:7" ht="50.1" customHeight="1">
      <c r="A4" s="137"/>
      <c r="B4" s="138" t="s">
        <v>4</v>
      </c>
      <c r="C4" s="139"/>
      <c r="D4" s="140" t="s">
        <v>292</v>
      </c>
      <c r="E4" s="140" t="s">
        <v>5</v>
      </c>
      <c r="F4" s="141" t="s">
        <v>6</v>
      </c>
    </row>
    <row r="5" spans="1:7" ht="39.950000000000003" customHeight="1">
      <c r="A5" s="142"/>
      <c r="B5" s="143"/>
      <c r="C5" s="144"/>
      <c r="D5" s="145"/>
      <c r="E5" s="145"/>
      <c r="F5" s="145"/>
    </row>
    <row r="6" spans="1:7" ht="62.25" customHeight="1">
      <c r="A6" s="146"/>
      <c r="B6" s="147" t="s">
        <v>7</v>
      </c>
      <c r="C6" s="145"/>
      <c r="D6" s="148">
        <v>15</v>
      </c>
      <c r="E6" s="148"/>
      <c r="F6" s="149"/>
    </row>
    <row r="7" spans="1:7" ht="62.25" customHeight="1">
      <c r="A7" s="146"/>
      <c r="B7" s="147" t="s">
        <v>8</v>
      </c>
      <c r="C7" s="145"/>
      <c r="D7" s="148">
        <v>25</v>
      </c>
      <c r="E7" s="148"/>
      <c r="F7" s="150"/>
    </row>
    <row r="8" spans="1:7" ht="62.25" customHeight="1">
      <c r="A8" s="146"/>
      <c r="B8" s="147" t="s">
        <v>9</v>
      </c>
      <c r="C8" s="145"/>
      <c r="D8" s="148">
        <v>10</v>
      </c>
      <c r="E8" s="148">
        <v>10</v>
      </c>
      <c r="F8" s="150"/>
    </row>
    <row r="9" spans="1:7" ht="62.25" customHeight="1">
      <c r="A9" s="146"/>
      <c r="B9" s="147" t="s">
        <v>10</v>
      </c>
      <c r="C9" s="145"/>
      <c r="D9" s="148">
        <v>10</v>
      </c>
      <c r="E9" s="148"/>
      <c r="F9" s="150"/>
    </row>
    <row r="10" spans="1:7" ht="62.25" customHeight="1">
      <c r="A10" s="151"/>
      <c r="B10" s="152"/>
      <c r="C10" s="153"/>
      <c r="D10" s="154"/>
      <c r="E10" s="154"/>
      <c r="F10" s="154"/>
    </row>
    <row r="11" spans="1:7" ht="28.5" customHeight="1">
      <c r="A11" s="133" t="s">
        <v>1089</v>
      </c>
    </row>
    <row r="12" spans="1:7" ht="28.5" customHeight="1">
      <c r="A12" s="133" t="s">
        <v>11</v>
      </c>
    </row>
  </sheetData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"/>
  <sheetViews>
    <sheetView showGridLines="0" view="pageBreakPreview" zoomScaleNormal="90" zoomScaleSheetLayoutView="100" workbookViewId="0">
      <selection activeCell="U32" sqref="U32"/>
    </sheetView>
  </sheetViews>
  <sheetFormatPr defaultRowHeight="17.25" customHeight="1"/>
  <cols>
    <col min="1" max="1" width="2.44140625" style="82" customWidth="1"/>
    <col min="2" max="2" width="8.21875" style="82" customWidth="1"/>
    <col min="3" max="3" width="1.44140625" style="82" customWidth="1"/>
    <col min="4" max="4" width="22.21875" style="82" customWidth="1"/>
    <col min="5" max="5" width="1.44140625" style="82" customWidth="1"/>
    <col min="6" max="6" width="12.33203125" style="82" customWidth="1"/>
    <col min="7" max="7" width="10.88671875" style="82" customWidth="1"/>
    <col min="8" max="8" width="14.88671875" style="82" customWidth="1"/>
    <col min="9" max="16384" width="8.88671875" style="82"/>
  </cols>
  <sheetData>
    <row r="1" spans="1:13" s="76" customFormat="1" ht="20.25" customHeight="1">
      <c r="A1" s="1" t="str">
        <f>"[ 표 : "&amp;I1&amp;" ] "</f>
        <v xml:space="preserve">[ 표 : 46 ] </v>
      </c>
      <c r="F1" s="77"/>
      <c r="G1" s="77"/>
      <c r="I1" s="76">
        <f>이윤율!G1+1</f>
        <v>46</v>
      </c>
    </row>
    <row r="2" spans="1:13" s="81" customFormat="1" ht="25.5">
      <c r="A2" s="78" t="s">
        <v>0</v>
      </c>
      <c r="B2" s="78"/>
      <c r="C2" s="78"/>
      <c r="D2" s="78"/>
      <c r="E2" s="78"/>
      <c r="F2" s="79"/>
      <c r="G2" s="79"/>
      <c r="H2" s="80"/>
    </row>
    <row r="3" spans="1:13" ht="7.5" customHeight="1"/>
    <row r="4" spans="1:13" s="84" customFormat="1" ht="20.100000000000001" customHeight="1">
      <c r="A4" s="83" t="s">
        <v>1</v>
      </c>
      <c r="C4" s="83"/>
      <c r="F4" s="85"/>
      <c r="G4" s="86"/>
      <c r="H4" s="87" t="s">
        <v>2</v>
      </c>
    </row>
    <row r="5" spans="1:13" s="96" customFormat="1" ht="32.25" customHeight="1">
      <c r="A5" s="88" t="s">
        <v>143</v>
      </c>
      <c r="B5" s="89"/>
      <c r="C5" s="90"/>
      <c r="D5" s="91" t="s">
        <v>169</v>
      </c>
      <c r="E5" s="92"/>
      <c r="F5" s="93" t="s">
        <v>147</v>
      </c>
      <c r="G5" s="94" t="s">
        <v>170</v>
      </c>
      <c r="H5" s="95" t="s">
        <v>234</v>
      </c>
    </row>
    <row r="6" spans="1:13" s="104" customFormat="1" ht="15.95" customHeight="1">
      <c r="A6" s="97"/>
      <c r="B6" s="98">
        <v>21</v>
      </c>
      <c r="C6" s="97"/>
      <c r="D6" s="99" t="s">
        <v>171</v>
      </c>
      <c r="E6" s="100"/>
      <c r="F6" s="101">
        <v>13158276</v>
      </c>
      <c r="G6" s="102">
        <f>ROUND(F6/$F$6*100,2)</f>
        <v>100</v>
      </c>
      <c r="H6" s="103"/>
      <c r="K6" s="105"/>
      <c r="M6" s="106"/>
    </row>
    <row r="7" spans="1:13" s="104" customFormat="1" ht="15.95" customHeight="1">
      <c r="A7" s="97"/>
      <c r="B7" s="98">
        <v>22</v>
      </c>
      <c r="C7" s="97"/>
      <c r="D7" s="99" t="s">
        <v>172</v>
      </c>
      <c r="E7" s="100"/>
      <c r="F7" s="101">
        <v>6294686</v>
      </c>
      <c r="G7" s="102">
        <f t="shared" ref="G7:G41" si="0">ROUND(F7/$F$6*100,2)</f>
        <v>47.84</v>
      </c>
      <c r="H7" s="103"/>
      <c r="K7" s="105"/>
      <c r="M7" s="106"/>
    </row>
    <row r="8" spans="1:13" s="104" customFormat="1" ht="15.95" customHeight="1">
      <c r="A8" s="97"/>
      <c r="B8" s="98">
        <v>23</v>
      </c>
      <c r="C8" s="97"/>
      <c r="D8" s="99" t="s">
        <v>161</v>
      </c>
      <c r="E8" s="100"/>
      <c r="F8" s="101">
        <v>6863590</v>
      </c>
      <c r="G8" s="102">
        <f t="shared" si="0"/>
        <v>52.16</v>
      </c>
      <c r="H8" s="103"/>
      <c r="K8" s="105"/>
      <c r="M8" s="106"/>
    </row>
    <row r="9" spans="1:13" s="104" customFormat="1" ht="15.95" customHeight="1">
      <c r="A9" s="97"/>
      <c r="B9" s="98">
        <v>241</v>
      </c>
      <c r="C9" s="97"/>
      <c r="D9" s="99" t="s">
        <v>173</v>
      </c>
      <c r="E9" s="100"/>
      <c r="F9" s="101">
        <v>5494762</v>
      </c>
      <c r="G9" s="102">
        <f t="shared" si="0"/>
        <v>41.76</v>
      </c>
      <c r="H9" s="103"/>
      <c r="K9" s="105"/>
      <c r="M9" s="106"/>
    </row>
    <row r="10" spans="1:13" s="104" customFormat="1" ht="15.95" customHeight="1">
      <c r="A10" s="107"/>
      <c r="B10" s="108">
        <v>24101</v>
      </c>
      <c r="C10" s="107"/>
      <c r="D10" s="109" t="s">
        <v>174</v>
      </c>
      <c r="E10" s="110"/>
      <c r="F10" s="111">
        <v>1966348</v>
      </c>
      <c r="G10" s="112">
        <f t="shared" si="0"/>
        <v>14.94</v>
      </c>
      <c r="H10" s="113"/>
      <c r="K10" s="105"/>
      <c r="M10" s="106"/>
    </row>
    <row r="11" spans="1:13" s="104" customFormat="1" ht="15.95" customHeight="1">
      <c r="A11" s="114"/>
      <c r="B11" s="115">
        <v>24102</v>
      </c>
      <c r="C11" s="114"/>
      <c r="D11" s="116" t="s">
        <v>175</v>
      </c>
      <c r="E11" s="117"/>
      <c r="F11" s="118">
        <v>186109</v>
      </c>
      <c r="G11" s="119">
        <f t="shared" si="0"/>
        <v>1.41</v>
      </c>
      <c r="H11" s="120"/>
      <c r="K11" s="105"/>
      <c r="M11" s="106"/>
    </row>
    <row r="12" spans="1:13" s="104" customFormat="1" ht="15.95" customHeight="1">
      <c r="A12" s="114"/>
      <c r="B12" s="115">
        <v>24103</v>
      </c>
      <c r="C12" s="114"/>
      <c r="D12" s="116" t="s">
        <v>176</v>
      </c>
      <c r="E12" s="117"/>
      <c r="F12" s="118">
        <v>160220</v>
      </c>
      <c r="G12" s="119">
        <f t="shared" si="0"/>
        <v>1.22</v>
      </c>
      <c r="H12" s="120"/>
      <c r="K12" s="105"/>
      <c r="M12" s="106"/>
    </row>
    <row r="13" spans="1:13" s="104" customFormat="1" ht="15.95" customHeight="1">
      <c r="A13" s="114"/>
      <c r="B13" s="115">
        <v>24104</v>
      </c>
      <c r="C13" s="114"/>
      <c r="D13" s="116" t="s">
        <v>177</v>
      </c>
      <c r="E13" s="117"/>
      <c r="F13" s="118">
        <v>115572</v>
      </c>
      <c r="G13" s="119">
        <f t="shared" si="0"/>
        <v>0.88</v>
      </c>
      <c r="H13" s="120"/>
      <c r="K13" s="105"/>
      <c r="M13" s="106"/>
    </row>
    <row r="14" spans="1:13" s="104" customFormat="1" ht="15.95" customHeight="1">
      <c r="A14" s="114"/>
      <c r="B14" s="115">
        <v>24105</v>
      </c>
      <c r="C14" s="114"/>
      <c r="D14" s="116" t="s">
        <v>178</v>
      </c>
      <c r="E14" s="117"/>
      <c r="F14" s="118">
        <v>100038</v>
      </c>
      <c r="G14" s="119">
        <f t="shared" si="0"/>
        <v>0.76</v>
      </c>
      <c r="H14" s="120"/>
      <c r="K14" s="105"/>
      <c r="M14" s="106"/>
    </row>
    <row r="15" spans="1:13" s="104" customFormat="1" ht="15.95" customHeight="1">
      <c r="A15" s="114"/>
      <c r="B15" s="115">
        <v>24106</v>
      </c>
      <c r="C15" s="114"/>
      <c r="D15" s="116" t="s">
        <v>179</v>
      </c>
      <c r="E15" s="117"/>
      <c r="F15" s="118">
        <v>277085</v>
      </c>
      <c r="G15" s="119">
        <f t="shared" si="0"/>
        <v>2.11</v>
      </c>
      <c r="H15" s="120"/>
      <c r="K15" s="105"/>
      <c r="M15" s="106"/>
    </row>
    <row r="16" spans="1:13" s="104" customFormat="1" ht="15.95" customHeight="1">
      <c r="A16" s="114"/>
      <c r="B16" s="115">
        <v>24107</v>
      </c>
      <c r="C16" s="114"/>
      <c r="D16" s="116" t="s">
        <v>180</v>
      </c>
      <c r="E16" s="117"/>
      <c r="F16" s="118">
        <v>68203</v>
      </c>
      <c r="G16" s="119">
        <f t="shared" si="0"/>
        <v>0.52</v>
      </c>
      <c r="H16" s="121" t="s">
        <v>235</v>
      </c>
      <c r="K16" s="105"/>
      <c r="M16" s="106"/>
    </row>
    <row r="17" spans="1:13" s="104" customFormat="1" ht="15.95" customHeight="1">
      <c r="A17" s="114"/>
      <c r="B17" s="115">
        <v>24108</v>
      </c>
      <c r="C17" s="114"/>
      <c r="D17" s="116" t="s">
        <v>181</v>
      </c>
      <c r="E17" s="117"/>
      <c r="F17" s="122">
        <v>15808</v>
      </c>
      <c r="G17" s="119">
        <f t="shared" si="0"/>
        <v>0.12</v>
      </c>
      <c r="H17" s="121" t="s">
        <v>144</v>
      </c>
      <c r="K17" s="105"/>
      <c r="M17" s="106"/>
    </row>
    <row r="18" spans="1:13" s="104" customFormat="1" ht="15.95" customHeight="1">
      <c r="A18" s="114"/>
      <c r="B18" s="115">
        <v>24109</v>
      </c>
      <c r="C18" s="114"/>
      <c r="D18" s="116" t="s">
        <v>182</v>
      </c>
      <c r="E18" s="117"/>
      <c r="F18" s="122">
        <v>31231</v>
      </c>
      <c r="G18" s="119">
        <f t="shared" si="0"/>
        <v>0.24</v>
      </c>
      <c r="H18" s="121"/>
      <c r="K18" s="105"/>
      <c r="M18" s="106"/>
    </row>
    <row r="19" spans="1:13" s="104" customFormat="1" ht="15.95" customHeight="1">
      <c r="A19" s="114"/>
      <c r="B19" s="115">
        <v>24110</v>
      </c>
      <c r="C19" s="114"/>
      <c r="D19" s="116" t="s">
        <v>183</v>
      </c>
      <c r="E19" s="117"/>
      <c r="F19" s="122">
        <v>120639</v>
      </c>
      <c r="G19" s="119">
        <f t="shared" si="0"/>
        <v>0.92</v>
      </c>
      <c r="H19" s="121"/>
      <c r="K19" s="105"/>
      <c r="M19" s="106"/>
    </row>
    <row r="20" spans="1:13" s="104" customFormat="1" ht="15.95" customHeight="1">
      <c r="A20" s="114"/>
      <c r="B20" s="115">
        <v>24111</v>
      </c>
      <c r="C20" s="114"/>
      <c r="D20" s="116" t="s">
        <v>184</v>
      </c>
      <c r="E20" s="117"/>
      <c r="F20" s="122">
        <v>25090</v>
      </c>
      <c r="G20" s="119">
        <f t="shared" si="0"/>
        <v>0.19</v>
      </c>
      <c r="H20" s="121" t="s">
        <v>235</v>
      </c>
      <c r="K20" s="105"/>
      <c r="M20" s="106"/>
    </row>
    <row r="21" spans="1:13" s="104" customFormat="1" ht="15.95" customHeight="1">
      <c r="A21" s="114"/>
      <c r="B21" s="115">
        <v>24112</v>
      </c>
      <c r="C21" s="114"/>
      <c r="D21" s="116" t="s">
        <v>185</v>
      </c>
      <c r="E21" s="117"/>
      <c r="F21" s="122">
        <v>23770</v>
      </c>
      <c r="G21" s="119">
        <f t="shared" si="0"/>
        <v>0.18</v>
      </c>
      <c r="H21" s="121" t="s">
        <v>144</v>
      </c>
      <c r="K21" s="105"/>
      <c r="M21" s="106"/>
    </row>
    <row r="22" spans="1:13" s="104" customFormat="1" ht="15.95" customHeight="1">
      <c r="A22" s="114"/>
      <c r="B22" s="115">
        <v>24113</v>
      </c>
      <c r="C22" s="114"/>
      <c r="D22" s="123" t="s">
        <v>186</v>
      </c>
      <c r="E22" s="117"/>
      <c r="F22" s="122">
        <v>2404650</v>
      </c>
      <c r="G22" s="119">
        <f t="shared" si="0"/>
        <v>18.27</v>
      </c>
      <c r="H22" s="121" t="s">
        <v>144</v>
      </c>
      <c r="K22" s="105"/>
      <c r="M22" s="106"/>
    </row>
    <row r="23" spans="1:13" s="104" customFormat="1" ht="15.95" customHeight="1">
      <c r="A23" s="97"/>
      <c r="B23" s="98">
        <v>24</v>
      </c>
      <c r="C23" s="97"/>
      <c r="D23" s="99" t="s">
        <v>187</v>
      </c>
      <c r="E23" s="100"/>
      <c r="F23" s="124">
        <v>1368828</v>
      </c>
      <c r="G23" s="102">
        <f t="shared" si="0"/>
        <v>10.4</v>
      </c>
      <c r="H23" s="103"/>
      <c r="K23" s="105"/>
      <c r="M23" s="106"/>
    </row>
    <row r="24" spans="1:13" s="104" customFormat="1" ht="15.95" customHeight="1">
      <c r="A24" s="97"/>
      <c r="B24" s="98">
        <v>251</v>
      </c>
      <c r="C24" s="97"/>
      <c r="D24" s="99" t="s">
        <v>188</v>
      </c>
      <c r="E24" s="100"/>
      <c r="F24" s="124">
        <v>629556</v>
      </c>
      <c r="G24" s="102">
        <f t="shared" si="0"/>
        <v>4.78</v>
      </c>
      <c r="H24" s="103"/>
      <c r="K24" s="105"/>
      <c r="M24" s="106"/>
    </row>
    <row r="25" spans="1:13" s="104" customFormat="1" ht="15.95" customHeight="1">
      <c r="A25" s="107"/>
      <c r="B25" s="108">
        <v>25101</v>
      </c>
      <c r="C25" s="107"/>
      <c r="D25" s="109" t="s">
        <v>189</v>
      </c>
      <c r="E25" s="110"/>
      <c r="F25" s="125">
        <v>88659</v>
      </c>
      <c r="G25" s="112">
        <f t="shared" si="0"/>
        <v>0.67</v>
      </c>
      <c r="H25" s="113"/>
      <c r="K25" s="105"/>
      <c r="M25" s="106"/>
    </row>
    <row r="26" spans="1:13" s="104" customFormat="1" ht="15.95" customHeight="1">
      <c r="A26" s="114"/>
      <c r="B26" s="115">
        <v>25102</v>
      </c>
      <c r="C26" s="114"/>
      <c r="D26" s="116" t="s">
        <v>190</v>
      </c>
      <c r="E26" s="117"/>
      <c r="F26" s="122">
        <v>131057</v>
      </c>
      <c r="G26" s="119">
        <f t="shared" si="0"/>
        <v>1</v>
      </c>
      <c r="H26" s="120"/>
      <c r="K26" s="105"/>
      <c r="M26" s="106"/>
    </row>
    <row r="27" spans="1:13" s="104" customFormat="1" ht="15.95" customHeight="1">
      <c r="A27" s="114"/>
      <c r="B27" s="115">
        <v>25103</v>
      </c>
      <c r="C27" s="114"/>
      <c r="D27" s="116" t="s">
        <v>191</v>
      </c>
      <c r="E27" s="117"/>
      <c r="F27" s="118">
        <v>1715</v>
      </c>
      <c r="G27" s="119">
        <f t="shared" si="0"/>
        <v>0.01</v>
      </c>
      <c r="H27" s="120"/>
      <c r="K27" s="105"/>
      <c r="M27" s="106"/>
    </row>
    <row r="28" spans="1:13" s="104" customFormat="1" ht="15.95" customHeight="1">
      <c r="A28" s="114"/>
      <c r="B28" s="115">
        <v>25104</v>
      </c>
      <c r="C28" s="114"/>
      <c r="D28" s="116" t="s">
        <v>192</v>
      </c>
      <c r="E28" s="117"/>
      <c r="F28" s="118">
        <v>11819</v>
      </c>
      <c r="G28" s="119">
        <f t="shared" si="0"/>
        <v>0.09</v>
      </c>
      <c r="H28" s="120"/>
      <c r="K28" s="105"/>
      <c r="M28" s="106"/>
    </row>
    <row r="29" spans="1:13" s="104" customFormat="1" ht="15.95" customHeight="1">
      <c r="A29" s="114"/>
      <c r="B29" s="115">
        <v>25105</v>
      </c>
      <c r="C29" s="114"/>
      <c r="D29" s="116" t="s">
        <v>162</v>
      </c>
      <c r="E29" s="117"/>
      <c r="F29" s="118">
        <v>144301</v>
      </c>
      <c r="G29" s="119">
        <f t="shared" si="0"/>
        <v>1.1000000000000001</v>
      </c>
      <c r="H29" s="120"/>
      <c r="K29" s="105"/>
      <c r="M29" s="106"/>
    </row>
    <row r="30" spans="1:13" s="104" customFormat="1" ht="15.95" customHeight="1">
      <c r="A30" s="114"/>
      <c r="B30" s="115">
        <v>25106</v>
      </c>
      <c r="C30" s="114"/>
      <c r="D30" s="116" t="s">
        <v>193</v>
      </c>
      <c r="E30" s="117"/>
      <c r="F30" s="118">
        <v>71228</v>
      </c>
      <c r="G30" s="119">
        <f t="shared" si="0"/>
        <v>0.54</v>
      </c>
      <c r="H30" s="120"/>
      <c r="K30" s="105"/>
      <c r="M30" s="106"/>
    </row>
    <row r="31" spans="1:13" s="104" customFormat="1" ht="15.95" customHeight="1">
      <c r="A31" s="114"/>
      <c r="B31" s="115">
        <v>25107</v>
      </c>
      <c r="C31" s="114"/>
      <c r="D31" s="116" t="s">
        <v>194</v>
      </c>
      <c r="E31" s="117"/>
      <c r="F31" s="118">
        <v>180776</v>
      </c>
      <c r="G31" s="119">
        <f t="shared" si="0"/>
        <v>1.37</v>
      </c>
      <c r="H31" s="120"/>
      <c r="K31" s="105"/>
      <c r="M31" s="106"/>
    </row>
    <row r="32" spans="1:13" s="104" customFormat="1" ht="15.95" customHeight="1">
      <c r="A32" s="97"/>
      <c r="B32" s="98">
        <v>252</v>
      </c>
      <c r="C32" s="97"/>
      <c r="D32" s="99" t="s">
        <v>195</v>
      </c>
      <c r="E32" s="100"/>
      <c r="F32" s="101">
        <v>603884</v>
      </c>
      <c r="G32" s="102">
        <f t="shared" si="0"/>
        <v>4.59</v>
      </c>
      <c r="H32" s="103"/>
      <c r="K32" s="105"/>
      <c r="M32" s="106"/>
    </row>
    <row r="33" spans="1:13" s="104" customFormat="1" ht="15.95" customHeight="1">
      <c r="A33" s="107"/>
      <c r="B33" s="126">
        <v>25201</v>
      </c>
      <c r="C33" s="107"/>
      <c r="D33" s="109" t="s">
        <v>196</v>
      </c>
      <c r="E33" s="110"/>
      <c r="F33" s="111">
        <v>287851</v>
      </c>
      <c r="G33" s="112">
        <f t="shared" si="0"/>
        <v>2.19</v>
      </c>
      <c r="H33" s="113"/>
      <c r="K33" s="105"/>
      <c r="M33" s="106"/>
    </row>
    <row r="34" spans="1:13" s="104" customFormat="1" ht="15.95" customHeight="1">
      <c r="A34" s="114"/>
      <c r="B34" s="127">
        <v>25202</v>
      </c>
      <c r="C34" s="114"/>
      <c r="D34" s="116" t="s">
        <v>197</v>
      </c>
      <c r="E34" s="117"/>
      <c r="F34" s="118">
        <v>6257</v>
      </c>
      <c r="G34" s="119">
        <f t="shared" si="0"/>
        <v>0.05</v>
      </c>
      <c r="H34" s="120"/>
      <c r="K34" s="105"/>
      <c r="M34" s="106"/>
    </row>
    <row r="35" spans="1:13" s="104" customFormat="1" ht="15.95" customHeight="1">
      <c r="A35" s="114"/>
      <c r="B35" s="127">
        <v>25203</v>
      </c>
      <c r="C35" s="114"/>
      <c r="D35" s="116" t="s">
        <v>198</v>
      </c>
      <c r="E35" s="117"/>
      <c r="F35" s="118">
        <v>31163</v>
      </c>
      <c r="G35" s="119">
        <f t="shared" si="0"/>
        <v>0.24</v>
      </c>
      <c r="H35" s="120"/>
      <c r="K35" s="105"/>
      <c r="M35" s="106"/>
    </row>
    <row r="36" spans="1:13" s="104" customFormat="1" ht="15.95" customHeight="1">
      <c r="A36" s="114"/>
      <c r="B36" s="127">
        <v>25204</v>
      </c>
      <c r="C36" s="114"/>
      <c r="D36" s="116" t="s">
        <v>199</v>
      </c>
      <c r="E36" s="117"/>
      <c r="F36" s="118">
        <v>46319</v>
      </c>
      <c r="G36" s="119">
        <f t="shared" si="0"/>
        <v>0.35</v>
      </c>
      <c r="H36" s="120"/>
      <c r="K36" s="105"/>
      <c r="M36" s="106"/>
    </row>
    <row r="37" spans="1:13" s="104" customFormat="1" ht="15.95" customHeight="1">
      <c r="A37" s="114"/>
      <c r="B37" s="127">
        <v>25205</v>
      </c>
      <c r="C37" s="114"/>
      <c r="D37" s="116" t="s">
        <v>200</v>
      </c>
      <c r="E37" s="117"/>
      <c r="F37" s="118">
        <v>44359</v>
      </c>
      <c r="G37" s="119">
        <f t="shared" si="0"/>
        <v>0.34</v>
      </c>
      <c r="H37" s="120"/>
      <c r="K37" s="105"/>
      <c r="M37" s="106"/>
    </row>
    <row r="38" spans="1:13" s="104" customFormat="1" ht="15.95" customHeight="1">
      <c r="A38" s="114"/>
      <c r="B38" s="127">
        <v>25206</v>
      </c>
      <c r="C38" s="114"/>
      <c r="D38" s="123" t="s">
        <v>201</v>
      </c>
      <c r="E38" s="117"/>
      <c r="F38" s="118">
        <v>187934</v>
      </c>
      <c r="G38" s="119">
        <f t="shared" si="0"/>
        <v>1.43</v>
      </c>
      <c r="H38" s="120"/>
      <c r="K38" s="105"/>
      <c r="M38" s="106"/>
    </row>
    <row r="39" spans="1:13" s="104" customFormat="1" ht="15.95" customHeight="1">
      <c r="A39" s="97"/>
      <c r="B39" s="98">
        <v>25</v>
      </c>
      <c r="C39" s="97"/>
      <c r="D39" s="99" t="s">
        <v>202</v>
      </c>
      <c r="E39" s="100"/>
      <c r="F39" s="128">
        <v>1394500</v>
      </c>
      <c r="G39" s="102">
        <f t="shared" si="0"/>
        <v>10.6</v>
      </c>
      <c r="H39" s="103"/>
      <c r="K39" s="105"/>
      <c r="M39" s="106"/>
    </row>
    <row r="40" spans="1:13" s="104" customFormat="1" ht="15.95" customHeight="1">
      <c r="A40" s="97"/>
      <c r="B40" s="98">
        <v>261</v>
      </c>
      <c r="C40" s="97"/>
      <c r="D40" s="99" t="s">
        <v>203</v>
      </c>
      <c r="E40" s="100"/>
      <c r="F40" s="101">
        <v>281942</v>
      </c>
      <c r="G40" s="102">
        <f t="shared" si="0"/>
        <v>2.14</v>
      </c>
      <c r="H40" s="103"/>
      <c r="K40" s="105"/>
      <c r="M40" s="106"/>
    </row>
    <row r="41" spans="1:13" s="104" customFormat="1" ht="15.95" customHeight="1">
      <c r="A41" s="97"/>
      <c r="B41" s="98">
        <v>26</v>
      </c>
      <c r="C41" s="97"/>
      <c r="D41" s="99" t="s">
        <v>236</v>
      </c>
      <c r="E41" s="100"/>
      <c r="F41" s="101">
        <v>1112558</v>
      </c>
      <c r="G41" s="102">
        <f t="shared" si="0"/>
        <v>8.4600000000000009</v>
      </c>
      <c r="H41" s="103"/>
      <c r="K41" s="105"/>
      <c r="M41" s="106"/>
    </row>
    <row r="42" spans="1:13" s="96" customFormat="1" ht="13.5" customHeight="1">
      <c r="A42" s="129" t="s">
        <v>1090</v>
      </c>
      <c r="C42" s="83"/>
      <c r="D42" s="84"/>
      <c r="E42" s="84"/>
      <c r="F42" s="85"/>
      <c r="G42" s="86"/>
      <c r="H42" s="84"/>
    </row>
    <row r="43" spans="1:13" ht="13.5" customHeight="1">
      <c r="A43" s="130" t="s">
        <v>570</v>
      </c>
      <c r="B43" s="130"/>
      <c r="C43" s="130"/>
      <c r="F43" s="131"/>
      <c r="G43" s="132"/>
    </row>
    <row r="44" spans="1:13" ht="17.25" customHeight="1">
      <c r="A44" s="130"/>
      <c r="B44" s="130"/>
      <c r="C44" s="130"/>
      <c r="F44" s="131"/>
      <c r="G44" s="132"/>
    </row>
    <row r="45" spans="1:13" ht="17.25" customHeight="1">
      <c r="A45" s="130"/>
      <c r="B45" s="130"/>
      <c r="C45" s="130"/>
      <c r="F45" s="131"/>
      <c r="G45" s="132"/>
    </row>
    <row r="46" spans="1:13" ht="17.25" customHeight="1">
      <c r="A46" s="130"/>
      <c r="B46" s="130"/>
      <c r="C46" s="130"/>
      <c r="F46" s="131"/>
      <c r="G46" s="132"/>
    </row>
    <row r="47" spans="1:13" ht="17.25" customHeight="1">
      <c r="A47" s="130"/>
      <c r="B47" s="130"/>
      <c r="C47" s="130"/>
      <c r="F47" s="131"/>
      <c r="G47" s="132"/>
    </row>
    <row r="48" spans="1:13" ht="17.25" customHeight="1">
      <c r="A48" s="130"/>
      <c r="B48" s="130"/>
      <c r="C48" s="130"/>
      <c r="F48" s="131"/>
      <c r="G48" s="132"/>
    </row>
    <row r="49" spans="1:7" ht="17.25" customHeight="1">
      <c r="A49" s="130"/>
      <c r="B49" s="130"/>
      <c r="C49" s="130"/>
      <c r="F49" s="131"/>
      <c r="G49" s="132"/>
    </row>
    <row r="50" spans="1:7" ht="17.25" customHeight="1">
      <c r="A50" s="130"/>
      <c r="B50" s="130"/>
      <c r="C50" s="130"/>
      <c r="F50" s="131"/>
      <c r="G50" s="132"/>
    </row>
    <row r="51" spans="1:7" ht="17.25" customHeight="1">
      <c r="A51" s="130"/>
      <c r="B51" s="130"/>
      <c r="C51" s="130"/>
      <c r="F51" s="131"/>
      <c r="G51" s="132"/>
    </row>
    <row r="52" spans="1:7" ht="17.25" customHeight="1">
      <c r="A52" s="130"/>
      <c r="B52" s="130"/>
      <c r="C52" s="130"/>
      <c r="F52" s="131"/>
      <c r="G52" s="132"/>
    </row>
    <row r="53" spans="1:7" ht="17.25" customHeight="1">
      <c r="A53" s="130"/>
      <c r="B53" s="130"/>
      <c r="C53" s="130"/>
      <c r="F53" s="131"/>
      <c r="G53" s="132"/>
    </row>
    <row r="54" spans="1:7" ht="17.25" customHeight="1">
      <c r="A54" s="130"/>
      <c r="B54" s="130"/>
      <c r="C54" s="130"/>
      <c r="F54" s="131"/>
      <c r="G54" s="132"/>
    </row>
    <row r="55" spans="1:7" ht="17.25" customHeight="1">
      <c r="A55" s="130"/>
      <c r="B55" s="130"/>
      <c r="C55" s="130"/>
      <c r="F55" s="131"/>
      <c r="G55" s="132"/>
    </row>
    <row r="56" spans="1:7" ht="17.25" customHeight="1">
      <c r="A56" s="130"/>
      <c r="B56" s="130"/>
      <c r="C56" s="130"/>
      <c r="F56" s="131"/>
      <c r="G56" s="132"/>
    </row>
    <row r="57" spans="1:7" ht="17.25" customHeight="1">
      <c r="A57" s="130"/>
      <c r="B57" s="130"/>
      <c r="C57" s="130"/>
      <c r="F57" s="131"/>
      <c r="G57" s="132"/>
    </row>
    <row r="58" spans="1:7" ht="17.25" customHeight="1">
      <c r="A58" s="130"/>
      <c r="B58" s="130"/>
      <c r="C58" s="130"/>
      <c r="F58" s="131"/>
      <c r="G58" s="132"/>
    </row>
    <row r="59" spans="1:7" ht="17.25" customHeight="1">
      <c r="A59" s="130"/>
      <c r="B59" s="130"/>
      <c r="C59" s="130"/>
      <c r="F59" s="131"/>
      <c r="G59" s="132"/>
    </row>
    <row r="60" spans="1:7" ht="17.25" customHeight="1">
      <c r="A60" s="130"/>
      <c r="B60" s="130"/>
      <c r="C60" s="130"/>
      <c r="F60" s="131"/>
      <c r="G60" s="132"/>
    </row>
    <row r="61" spans="1:7" ht="17.25" customHeight="1">
      <c r="A61" s="130"/>
      <c r="B61" s="130"/>
      <c r="C61" s="130"/>
      <c r="F61" s="131"/>
      <c r="G61" s="132"/>
    </row>
    <row r="62" spans="1:7" ht="17.25" customHeight="1">
      <c r="A62" s="130"/>
      <c r="B62" s="130"/>
      <c r="C62" s="130"/>
      <c r="F62" s="131"/>
      <c r="G62" s="132"/>
    </row>
    <row r="63" spans="1:7" ht="17.25" customHeight="1">
      <c r="A63" s="130"/>
      <c r="B63" s="130"/>
      <c r="C63" s="130"/>
      <c r="F63" s="131"/>
      <c r="G63" s="132"/>
    </row>
    <row r="64" spans="1:7" ht="17.25" customHeight="1">
      <c r="A64" s="130"/>
      <c r="B64" s="130"/>
      <c r="C64" s="130"/>
      <c r="F64" s="131"/>
      <c r="G64" s="132"/>
    </row>
    <row r="65" spans="1:7" ht="17.25" customHeight="1">
      <c r="A65" s="130"/>
      <c r="B65" s="130"/>
      <c r="C65" s="130"/>
      <c r="F65" s="131"/>
      <c r="G65" s="132"/>
    </row>
    <row r="66" spans="1:7" ht="17.25" customHeight="1">
      <c r="A66" s="130"/>
      <c r="B66" s="130"/>
      <c r="C66" s="130"/>
      <c r="F66" s="131"/>
      <c r="G66" s="132"/>
    </row>
    <row r="67" spans="1:7" ht="17.25" customHeight="1">
      <c r="A67" s="130"/>
      <c r="B67" s="130"/>
      <c r="C67" s="130"/>
      <c r="F67" s="131"/>
      <c r="G67" s="132"/>
    </row>
    <row r="68" spans="1:7" ht="17.25" customHeight="1">
      <c r="A68" s="130"/>
      <c r="B68" s="130"/>
      <c r="C68" s="130"/>
      <c r="F68" s="131"/>
      <c r="G68" s="132"/>
    </row>
    <row r="69" spans="1:7" ht="17.25" customHeight="1">
      <c r="A69" s="130"/>
      <c r="B69" s="130"/>
      <c r="C69" s="130"/>
      <c r="F69" s="131"/>
      <c r="G69" s="132"/>
    </row>
    <row r="70" spans="1:7" ht="17.25" customHeight="1">
      <c r="A70" s="130"/>
      <c r="B70" s="130"/>
      <c r="C70" s="130"/>
      <c r="F70" s="131"/>
      <c r="G70" s="132"/>
    </row>
    <row r="71" spans="1:7" ht="17.25" customHeight="1">
      <c r="A71" s="130"/>
      <c r="B71" s="130"/>
      <c r="C71" s="130"/>
      <c r="F71" s="131"/>
      <c r="G71" s="132"/>
    </row>
    <row r="72" spans="1:7" ht="17.25" customHeight="1">
      <c r="A72" s="130"/>
      <c r="B72" s="130"/>
      <c r="C72" s="130"/>
      <c r="F72" s="131"/>
      <c r="G72" s="132"/>
    </row>
    <row r="73" spans="1:7" ht="17.25" customHeight="1">
      <c r="A73" s="130"/>
      <c r="B73" s="130"/>
      <c r="C73" s="130"/>
      <c r="F73" s="131"/>
      <c r="G73" s="132"/>
    </row>
    <row r="74" spans="1:7" ht="17.25" customHeight="1">
      <c r="A74" s="130"/>
      <c r="B74" s="130"/>
      <c r="C74" s="130"/>
      <c r="F74" s="131"/>
      <c r="G74" s="132"/>
    </row>
    <row r="75" spans="1:7" ht="17.25" customHeight="1">
      <c r="A75" s="130"/>
      <c r="B75" s="130"/>
      <c r="C75" s="130"/>
      <c r="F75" s="131"/>
      <c r="G75" s="132"/>
    </row>
    <row r="76" spans="1:7" ht="17.25" customHeight="1">
      <c r="A76" s="130"/>
      <c r="B76" s="130"/>
      <c r="C76" s="130"/>
      <c r="F76" s="131"/>
      <c r="G76" s="132"/>
    </row>
    <row r="77" spans="1:7" ht="17.25" customHeight="1">
      <c r="A77" s="130"/>
      <c r="B77" s="130"/>
      <c r="C77" s="130"/>
      <c r="F77" s="131"/>
      <c r="G77" s="132"/>
    </row>
    <row r="78" spans="1:7" ht="17.25" customHeight="1">
      <c r="A78" s="130"/>
      <c r="B78" s="130"/>
      <c r="C78" s="130"/>
      <c r="F78" s="131"/>
      <c r="G78" s="132"/>
    </row>
    <row r="79" spans="1:7" ht="17.25" customHeight="1">
      <c r="A79" s="130"/>
      <c r="B79" s="130"/>
      <c r="C79" s="130"/>
      <c r="F79" s="131"/>
      <c r="G79" s="132"/>
    </row>
    <row r="80" spans="1:7" ht="17.25" customHeight="1">
      <c r="A80" s="130"/>
      <c r="B80" s="130"/>
      <c r="C80" s="130"/>
      <c r="F80" s="131"/>
      <c r="G80" s="132"/>
    </row>
    <row r="81" spans="1:7" ht="17.25" customHeight="1">
      <c r="A81" s="130"/>
      <c r="B81" s="130"/>
      <c r="C81" s="130"/>
      <c r="F81" s="131"/>
      <c r="G81" s="132"/>
    </row>
    <row r="82" spans="1:7" ht="17.25" customHeight="1">
      <c r="A82" s="130"/>
      <c r="B82" s="130"/>
      <c r="C82" s="130"/>
      <c r="F82" s="131"/>
      <c r="G82" s="132"/>
    </row>
    <row r="83" spans="1:7" ht="17.25" customHeight="1">
      <c r="A83" s="130"/>
      <c r="B83" s="130"/>
      <c r="C83" s="130"/>
      <c r="F83" s="131"/>
      <c r="G83" s="132"/>
    </row>
    <row r="84" spans="1:7" ht="17.25" customHeight="1">
      <c r="A84" s="130"/>
      <c r="B84" s="130"/>
      <c r="C84" s="130"/>
      <c r="F84" s="131"/>
      <c r="G84" s="132"/>
    </row>
    <row r="85" spans="1:7" ht="17.25" customHeight="1">
      <c r="A85" s="130"/>
      <c r="B85" s="130"/>
      <c r="C85" s="130"/>
      <c r="F85" s="131"/>
      <c r="G85" s="132"/>
    </row>
    <row r="86" spans="1:7" ht="17.25" customHeight="1">
      <c r="A86" s="130"/>
      <c r="B86" s="130"/>
      <c r="C86" s="130"/>
      <c r="F86" s="131"/>
      <c r="G86" s="132"/>
    </row>
    <row r="87" spans="1:7" ht="17.25" customHeight="1">
      <c r="A87" s="130"/>
      <c r="B87" s="130"/>
      <c r="C87" s="130"/>
      <c r="F87" s="131"/>
      <c r="G87" s="132"/>
    </row>
    <row r="88" spans="1:7" ht="17.25" customHeight="1">
      <c r="A88" s="130"/>
      <c r="B88" s="130"/>
      <c r="C88" s="130"/>
      <c r="F88" s="131"/>
      <c r="G88" s="132"/>
    </row>
    <row r="89" spans="1:7" ht="17.25" customHeight="1">
      <c r="A89" s="130"/>
      <c r="B89" s="130"/>
      <c r="C89" s="130"/>
      <c r="F89" s="131"/>
      <c r="G89" s="132"/>
    </row>
    <row r="90" spans="1:7" ht="17.25" customHeight="1">
      <c r="A90" s="130"/>
      <c r="B90" s="130"/>
      <c r="C90" s="130"/>
      <c r="F90" s="131"/>
      <c r="G90" s="132"/>
    </row>
    <row r="91" spans="1:7" ht="17.25" customHeight="1">
      <c r="A91" s="130"/>
      <c r="B91" s="130"/>
      <c r="C91" s="130"/>
      <c r="F91" s="131"/>
      <c r="G91" s="132"/>
    </row>
    <row r="92" spans="1:7" ht="17.25" customHeight="1">
      <c r="A92" s="130"/>
      <c r="B92" s="130"/>
      <c r="C92" s="130"/>
      <c r="F92" s="131"/>
      <c r="G92" s="132"/>
    </row>
    <row r="93" spans="1:7" ht="17.25" customHeight="1">
      <c r="A93" s="130"/>
      <c r="B93" s="130"/>
      <c r="C93" s="130"/>
      <c r="F93" s="131"/>
      <c r="G93" s="132"/>
    </row>
    <row r="94" spans="1:7" ht="17.25" customHeight="1">
      <c r="A94" s="130"/>
      <c r="B94" s="130"/>
      <c r="C94" s="130"/>
      <c r="F94" s="131"/>
      <c r="G94" s="132"/>
    </row>
    <row r="95" spans="1:7" ht="17.25" customHeight="1">
      <c r="A95" s="130"/>
      <c r="B95" s="130"/>
      <c r="C95" s="130"/>
      <c r="F95" s="131"/>
      <c r="G95" s="132"/>
    </row>
    <row r="96" spans="1:7" ht="17.25" customHeight="1">
      <c r="A96" s="130"/>
      <c r="B96" s="130"/>
      <c r="C96" s="130"/>
      <c r="F96" s="131"/>
      <c r="G96" s="132"/>
    </row>
    <row r="97" spans="1:7" ht="17.25" customHeight="1">
      <c r="A97" s="130"/>
      <c r="B97" s="130"/>
      <c r="C97" s="130"/>
      <c r="F97" s="131"/>
      <c r="G97" s="132"/>
    </row>
    <row r="98" spans="1:7" ht="17.25" customHeight="1">
      <c r="A98" s="130"/>
      <c r="B98" s="130"/>
      <c r="C98" s="130"/>
      <c r="F98" s="131"/>
      <c r="G98" s="132"/>
    </row>
    <row r="99" spans="1:7" ht="17.25" customHeight="1">
      <c r="A99" s="130"/>
      <c r="B99" s="130"/>
      <c r="C99" s="130"/>
      <c r="F99" s="131"/>
      <c r="G99" s="132"/>
    </row>
    <row r="100" spans="1:7" ht="17.25" customHeight="1">
      <c r="A100" s="130"/>
      <c r="B100" s="130"/>
      <c r="C100" s="130"/>
      <c r="F100" s="131"/>
      <c r="G100" s="132"/>
    </row>
    <row r="101" spans="1:7" ht="17.25" customHeight="1">
      <c r="A101" s="130"/>
      <c r="B101" s="130"/>
      <c r="C101" s="130"/>
      <c r="F101" s="131"/>
      <c r="G101" s="132"/>
    </row>
    <row r="102" spans="1:7" ht="17.25" customHeight="1">
      <c r="A102" s="130"/>
      <c r="B102" s="130"/>
      <c r="C102" s="130"/>
      <c r="F102" s="131"/>
      <c r="G102" s="132"/>
    </row>
    <row r="103" spans="1:7" ht="17.25" customHeight="1">
      <c r="A103" s="130"/>
      <c r="B103" s="130"/>
      <c r="C103" s="130"/>
      <c r="F103" s="131"/>
      <c r="G103" s="132"/>
    </row>
    <row r="104" spans="1:7" ht="17.25" customHeight="1">
      <c r="A104" s="130"/>
      <c r="B104" s="130"/>
      <c r="C104" s="130"/>
      <c r="F104" s="131"/>
      <c r="G104" s="132"/>
    </row>
    <row r="105" spans="1:7" ht="17.25" customHeight="1">
      <c r="A105" s="130"/>
      <c r="B105" s="130"/>
      <c r="C105" s="130"/>
      <c r="F105" s="131"/>
      <c r="G105" s="132"/>
    </row>
    <row r="106" spans="1:7" ht="17.25" customHeight="1">
      <c r="A106" s="130"/>
      <c r="B106" s="130"/>
      <c r="C106" s="130"/>
      <c r="F106" s="131"/>
      <c r="G106" s="132"/>
    </row>
    <row r="107" spans="1:7" ht="17.25" customHeight="1">
      <c r="A107" s="130"/>
      <c r="B107" s="130"/>
      <c r="C107" s="130"/>
      <c r="F107" s="131"/>
      <c r="G107" s="132"/>
    </row>
    <row r="108" spans="1:7" ht="17.25" customHeight="1">
      <c r="A108" s="130"/>
      <c r="B108" s="130"/>
      <c r="C108" s="130"/>
      <c r="F108" s="131"/>
      <c r="G108" s="132"/>
    </row>
    <row r="109" spans="1:7" ht="17.25" customHeight="1">
      <c r="A109" s="130"/>
      <c r="B109" s="130"/>
      <c r="C109" s="130"/>
      <c r="F109" s="131"/>
      <c r="G109" s="132"/>
    </row>
    <row r="110" spans="1:7" ht="17.25" customHeight="1">
      <c r="A110" s="130"/>
      <c r="B110" s="130"/>
      <c r="C110" s="130"/>
      <c r="F110" s="131"/>
      <c r="G110" s="132"/>
    </row>
    <row r="111" spans="1:7" ht="17.25" customHeight="1">
      <c r="A111" s="130"/>
      <c r="B111" s="130"/>
      <c r="C111" s="130"/>
      <c r="F111" s="131"/>
      <c r="G111" s="132"/>
    </row>
    <row r="112" spans="1:7" ht="17.25" customHeight="1">
      <c r="A112" s="130"/>
      <c r="B112" s="130"/>
      <c r="C112" s="130"/>
      <c r="F112" s="131"/>
      <c r="G112" s="132"/>
    </row>
    <row r="113" spans="1:7" ht="17.25" customHeight="1">
      <c r="A113" s="130"/>
      <c r="B113" s="130"/>
      <c r="C113" s="130"/>
      <c r="F113" s="131"/>
      <c r="G113" s="132"/>
    </row>
    <row r="114" spans="1:7" ht="17.25" customHeight="1">
      <c r="A114" s="130"/>
      <c r="B114" s="130"/>
      <c r="C114" s="130"/>
      <c r="F114" s="131"/>
      <c r="G114" s="132"/>
    </row>
    <row r="115" spans="1:7" ht="17.25" customHeight="1">
      <c r="A115" s="130"/>
      <c r="B115" s="130"/>
      <c r="C115" s="130"/>
      <c r="F115" s="131"/>
      <c r="G115" s="132"/>
    </row>
    <row r="116" spans="1:7" ht="17.25" customHeight="1">
      <c r="A116" s="130"/>
      <c r="B116" s="130"/>
      <c r="C116" s="130"/>
      <c r="F116" s="131"/>
      <c r="G116" s="132"/>
    </row>
    <row r="117" spans="1:7" ht="17.25" customHeight="1">
      <c r="A117" s="130"/>
      <c r="B117" s="130"/>
      <c r="C117" s="130"/>
      <c r="F117" s="131"/>
      <c r="G117" s="132"/>
    </row>
    <row r="118" spans="1:7" ht="17.25" customHeight="1">
      <c r="A118" s="130"/>
      <c r="B118" s="130"/>
      <c r="C118" s="130"/>
      <c r="F118" s="131"/>
      <c r="G118" s="132"/>
    </row>
    <row r="119" spans="1:7" ht="17.25" customHeight="1">
      <c r="A119" s="130"/>
      <c r="B119" s="130"/>
      <c r="C119" s="130"/>
      <c r="F119" s="131"/>
      <c r="G119" s="132"/>
    </row>
    <row r="120" spans="1:7" ht="17.25" customHeight="1">
      <c r="A120" s="130"/>
      <c r="B120" s="130"/>
      <c r="C120" s="130"/>
      <c r="F120" s="131"/>
      <c r="G120" s="132"/>
    </row>
    <row r="121" spans="1:7" ht="17.25" customHeight="1">
      <c r="A121" s="130"/>
      <c r="B121" s="130"/>
      <c r="C121" s="130"/>
      <c r="F121" s="131"/>
      <c r="G121" s="132"/>
    </row>
    <row r="122" spans="1:7" ht="17.25" customHeight="1">
      <c r="A122" s="130"/>
      <c r="B122" s="130"/>
      <c r="C122" s="130"/>
      <c r="F122" s="131"/>
      <c r="G122" s="132"/>
    </row>
    <row r="123" spans="1:7" ht="17.25" customHeight="1">
      <c r="A123" s="130"/>
      <c r="B123" s="130"/>
      <c r="C123" s="130"/>
      <c r="F123" s="131"/>
      <c r="G123" s="132"/>
    </row>
    <row r="124" spans="1:7" ht="17.25" customHeight="1">
      <c r="A124" s="130"/>
      <c r="B124" s="130"/>
      <c r="C124" s="130"/>
      <c r="F124" s="131"/>
      <c r="G124" s="132"/>
    </row>
    <row r="125" spans="1:7" ht="17.25" customHeight="1">
      <c r="A125" s="130"/>
      <c r="B125" s="130"/>
      <c r="C125" s="130"/>
      <c r="F125" s="131"/>
      <c r="G125" s="132"/>
    </row>
    <row r="126" spans="1:7" ht="17.25" customHeight="1">
      <c r="A126" s="130"/>
      <c r="B126" s="130"/>
      <c r="C126" s="130"/>
      <c r="F126" s="131"/>
      <c r="G126" s="132"/>
    </row>
    <row r="127" spans="1:7" ht="17.25" customHeight="1">
      <c r="A127" s="130"/>
      <c r="B127" s="130"/>
      <c r="C127" s="130"/>
      <c r="F127" s="131"/>
      <c r="G127" s="132"/>
    </row>
    <row r="128" spans="1:7" ht="17.25" customHeight="1">
      <c r="A128" s="130"/>
      <c r="B128" s="130"/>
      <c r="C128" s="130"/>
      <c r="F128" s="131"/>
      <c r="G128" s="132"/>
    </row>
    <row r="129" spans="1:7" ht="17.25" customHeight="1">
      <c r="A129" s="130"/>
      <c r="B129" s="130"/>
      <c r="C129" s="130"/>
      <c r="F129" s="131"/>
      <c r="G129" s="132"/>
    </row>
    <row r="130" spans="1:7" ht="17.25" customHeight="1">
      <c r="A130" s="130"/>
      <c r="B130" s="130"/>
      <c r="C130" s="130"/>
      <c r="F130" s="131"/>
      <c r="G130" s="132"/>
    </row>
    <row r="131" spans="1:7" ht="17.25" customHeight="1">
      <c r="A131" s="130"/>
      <c r="B131" s="130"/>
      <c r="C131" s="130"/>
      <c r="F131" s="131"/>
      <c r="G131" s="132"/>
    </row>
    <row r="132" spans="1:7" ht="17.25" customHeight="1">
      <c r="A132" s="130"/>
      <c r="B132" s="130"/>
      <c r="C132" s="130"/>
      <c r="F132" s="131"/>
      <c r="G132" s="132"/>
    </row>
    <row r="133" spans="1:7" ht="17.25" customHeight="1">
      <c r="A133" s="130"/>
      <c r="B133" s="130"/>
      <c r="C133" s="130"/>
      <c r="F133" s="131"/>
      <c r="G133" s="132"/>
    </row>
    <row r="134" spans="1:7" ht="17.25" customHeight="1">
      <c r="A134" s="130"/>
      <c r="B134" s="130"/>
      <c r="C134" s="130"/>
      <c r="F134" s="131"/>
      <c r="G134" s="132"/>
    </row>
    <row r="135" spans="1:7" ht="17.25" customHeight="1">
      <c r="A135" s="130"/>
      <c r="B135" s="130"/>
      <c r="C135" s="130"/>
      <c r="F135" s="131"/>
      <c r="G135" s="132"/>
    </row>
    <row r="136" spans="1:7" ht="17.25" customHeight="1">
      <c r="A136" s="130"/>
      <c r="B136" s="130"/>
      <c r="C136" s="130"/>
      <c r="F136" s="131"/>
      <c r="G136" s="132"/>
    </row>
    <row r="137" spans="1:7" ht="17.25" customHeight="1">
      <c r="A137" s="130"/>
      <c r="B137" s="130"/>
      <c r="C137" s="130"/>
      <c r="F137" s="131"/>
      <c r="G137" s="132"/>
    </row>
    <row r="138" spans="1:7" ht="17.25" customHeight="1">
      <c r="A138" s="130"/>
      <c r="B138" s="130"/>
      <c r="C138" s="130"/>
      <c r="F138" s="131"/>
      <c r="G138" s="132"/>
    </row>
    <row r="139" spans="1:7" ht="17.25" customHeight="1">
      <c r="A139" s="130"/>
      <c r="B139" s="130"/>
      <c r="C139" s="130"/>
      <c r="F139" s="131"/>
      <c r="G139" s="132"/>
    </row>
    <row r="140" spans="1:7" ht="17.25" customHeight="1">
      <c r="A140" s="130"/>
      <c r="B140" s="130"/>
      <c r="C140" s="130"/>
      <c r="F140" s="131"/>
      <c r="G140" s="132"/>
    </row>
    <row r="141" spans="1:7" ht="17.25" customHeight="1">
      <c r="A141" s="130"/>
      <c r="B141" s="130"/>
      <c r="C141" s="130"/>
      <c r="F141" s="131"/>
      <c r="G141" s="132"/>
    </row>
    <row r="142" spans="1:7" ht="17.25" customHeight="1">
      <c r="A142" s="130"/>
      <c r="B142" s="130"/>
      <c r="C142" s="130"/>
      <c r="F142" s="131"/>
      <c r="G142" s="132"/>
    </row>
    <row r="143" spans="1:7" ht="17.25" customHeight="1">
      <c r="A143" s="130"/>
      <c r="B143" s="130"/>
      <c r="C143" s="130"/>
      <c r="F143" s="131"/>
      <c r="G143" s="132"/>
    </row>
    <row r="144" spans="1:7" ht="17.25" customHeight="1">
      <c r="A144" s="130"/>
      <c r="B144" s="130"/>
      <c r="C144" s="130"/>
      <c r="F144" s="131"/>
      <c r="G144" s="132"/>
    </row>
    <row r="145" spans="1:7" ht="17.25" customHeight="1">
      <c r="A145" s="130"/>
      <c r="B145" s="130"/>
      <c r="C145" s="130"/>
      <c r="F145" s="131"/>
      <c r="G145" s="132"/>
    </row>
    <row r="146" spans="1:7" ht="17.25" customHeight="1">
      <c r="A146" s="130"/>
      <c r="B146" s="130"/>
      <c r="C146" s="130"/>
      <c r="F146" s="131"/>
      <c r="G146" s="132"/>
    </row>
    <row r="147" spans="1:7" ht="17.25" customHeight="1">
      <c r="A147" s="130"/>
      <c r="B147" s="130"/>
      <c r="C147" s="130"/>
      <c r="F147" s="131"/>
      <c r="G147" s="132"/>
    </row>
    <row r="148" spans="1:7" ht="17.25" customHeight="1">
      <c r="A148" s="130"/>
      <c r="B148" s="130"/>
      <c r="C148" s="130"/>
      <c r="F148" s="131"/>
      <c r="G148" s="132"/>
    </row>
    <row r="149" spans="1:7" ht="17.25" customHeight="1">
      <c r="A149" s="130"/>
      <c r="B149" s="130"/>
      <c r="C149" s="130"/>
      <c r="F149" s="131"/>
      <c r="G149" s="132"/>
    </row>
    <row r="150" spans="1:7" ht="17.25" customHeight="1">
      <c r="A150" s="130"/>
      <c r="B150" s="130"/>
      <c r="C150" s="130"/>
      <c r="F150" s="131"/>
      <c r="G150" s="132"/>
    </row>
    <row r="151" spans="1:7" ht="17.25" customHeight="1">
      <c r="A151" s="130"/>
      <c r="B151" s="130"/>
      <c r="C151" s="130"/>
      <c r="F151" s="131"/>
      <c r="G151" s="132"/>
    </row>
    <row r="152" spans="1:7" ht="17.25" customHeight="1">
      <c r="A152" s="130"/>
      <c r="B152" s="130"/>
      <c r="C152" s="130"/>
      <c r="F152" s="131"/>
      <c r="G152" s="132"/>
    </row>
    <row r="153" spans="1:7" ht="17.25" customHeight="1">
      <c r="A153" s="130"/>
      <c r="B153" s="130"/>
      <c r="C153" s="130"/>
      <c r="F153" s="131"/>
      <c r="G153" s="132"/>
    </row>
    <row r="154" spans="1:7" ht="17.25" customHeight="1">
      <c r="A154" s="130"/>
      <c r="B154" s="130"/>
      <c r="C154" s="130"/>
      <c r="F154" s="131"/>
      <c r="G154" s="132"/>
    </row>
    <row r="155" spans="1:7" ht="17.25" customHeight="1">
      <c r="A155" s="130"/>
      <c r="B155" s="130"/>
      <c r="C155" s="130"/>
      <c r="F155" s="131"/>
      <c r="G155" s="132"/>
    </row>
    <row r="156" spans="1:7" ht="17.25" customHeight="1">
      <c r="A156" s="130"/>
      <c r="B156" s="130"/>
      <c r="C156" s="130"/>
      <c r="F156" s="131"/>
      <c r="G156" s="132"/>
    </row>
    <row r="157" spans="1:7" ht="17.25" customHeight="1">
      <c r="A157" s="130"/>
      <c r="B157" s="130"/>
      <c r="C157" s="130"/>
      <c r="F157" s="131"/>
      <c r="G157" s="132"/>
    </row>
    <row r="158" spans="1:7" ht="17.25" customHeight="1">
      <c r="A158" s="130"/>
      <c r="B158" s="130"/>
      <c r="C158" s="130"/>
      <c r="F158" s="131"/>
      <c r="G158" s="132"/>
    </row>
    <row r="159" spans="1:7" ht="17.25" customHeight="1">
      <c r="A159" s="130"/>
      <c r="B159" s="130"/>
      <c r="C159" s="130"/>
      <c r="F159" s="131"/>
      <c r="G159" s="132"/>
    </row>
    <row r="160" spans="1:7" ht="17.25" customHeight="1">
      <c r="A160" s="130"/>
      <c r="B160" s="130"/>
      <c r="C160" s="130"/>
      <c r="F160" s="131"/>
      <c r="G160" s="132"/>
    </row>
  </sheetData>
  <phoneticPr fontId="3" type="noConversion"/>
  <pageMargins left="0.78740157480314965" right="0.78740157480314965" top="0.98425196850393704" bottom="0.78740157480314965" header="0.51181102362204722" footer="0.51181102362204722"/>
  <pageSetup paperSize="9" firstPageNumber="141" orientation="portrait" r:id="rId1"/>
  <headerFooter alignWithMargins="0">
    <oddFooter>&amp;C&amp;"바탕체,보통"&amp;10-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61</vt:i4>
      </vt:variant>
      <vt:variant>
        <vt:lpstr>이름이 지정된 범위</vt:lpstr>
      </vt:variant>
      <vt:variant>
        <vt:i4>66</vt:i4>
      </vt:variant>
    </vt:vector>
  </HeadingPairs>
  <TitlesOfParts>
    <vt:vector size="127" baseType="lpstr">
      <vt:lpstr>표지</vt:lpstr>
      <vt:lpstr>설명서</vt:lpstr>
      <vt:lpstr>36개월총괄</vt:lpstr>
      <vt:lpstr>갑지</vt:lpstr>
      <vt:lpstr>2023년계약원가 비교</vt:lpstr>
      <vt:lpstr>간지#</vt:lpstr>
      <vt:lpstr>차수별용역비</vt:lpstr>
      <vt:lpstr>용역원가집계</vt:lpstr>
      <vt:lpstr>용역원가(24년)</vt:lpstr>
      <vt:lpstr>용역원가(25년) </vt:lpstr>
      <vt:lpstr>용역원가(26년)</vt:lpstr>
      <vt:lpstr>인건비집계</vt:lpstr>
      <vt:lpstr>제수당집계</vt:lpstr>
      <vt:lpstr>단위당인건비</vt:lpstr>
      <vt:lpstr>엔지니어노임</vt:lpstr>
      <vt:lpstr>월기본급</vt:lpstr>
      <vt:lpstr>기본급추정</vt:lpstr>
      <vt:lpstr>인건비산정기준</vt:lpstr>
      <vt:lpstr>일급분개</vt:lpstr>
      <vt:lpstr>보험료산정기준</vt:lpstr>
      <vt:lpstr>산재비율</vt:lpstr>
      <vt:lpstr>투입인원</vt:lpstr>
      <vt:lpstr>근무일수</vt:lpstr>
      <vt:lpstr>2024년 달력 </vt:lpstr>
      <vt:lpstr>가동시간</vt:lpstr>
      <vt:lpstr>기간현황</vt:lpstr>
      <vt:lpstr>경비집계</vt:lpstr>
      <vt:lpstr>고정)인적보험료집계</vt:lpstr>
      <vt:lpstr>고정)인적보험료</vt:lpstr>
      <vt:lpstr>고정)복리후생비집계</vt:lpstr>
      <vt:lpstr>고정)피복비</vt:lpstr>
      <vt:lpstr>고정)식대</vt:lpstr>
      <vt:lpstr>고정)건강검진비</vt:lpstr>
      <vt:lpstr>고정)의약품</vt:lpstr>
      <vt:lpstr>고정)안전관리비</vt:lpstr>
      <vt:lpstr>고정)교육훈련비</vt:lpstr>
      <vt:lpstr>고정)소모품비</vt:lpstr>
      <vt:lpstr>고정)출장여비</vt:lpstr>
      <vt:lpstr>운임</vt:lpstr>
      <vt:lpstr>고정)통신비</vt:lpstr>
      <vt:lpstr>변동)소모자재비</vt:lpstr>
      <vt:lpstr>변동)수선유지비</vt:lpstr>
      <vt:lpstr>변동)측정검사수수료</vt:lpstr>
      <vt:lpstr>변동)안전점검대행비</vt:lpstr>
      <vt:lpstr>변동)차량유지비</vt:lpstr>
      <vt:lpstr>변동)보안관리비</vt:lpstr>
      <vt:lpstr>변동)수집운반비</vt:lpstr>
      <vt:lpstr>수집운반_세금과공과 </vt:lpstr>
      <vt:lpstr>기타경비</vt:lpstr>
      <vt:lpstr>수리수선비</vt:lpstr>
      <vt:lpstr>감가상각비</vt:lpstr>
      <vt:lpstr>변동-대)전력비</vt:lpstr>
      <vt:lpstr>전력사용량</vt:lpstr>
      <vt:lpstr>변동-대)수도광열비</vt:lpstr>
      <vt:lpstr>변동-대)시설물보험료</vt:lpstr>
      <vt:lpstr>일반관리비</vt:lpstr>
      <vt:lpstr>일반관리비율</vt:lpstr>
      <vt:lpstr>일반-시행규칙</vt:lpstr>
      <vt:lpstr>이윤</vt:lpstr>
      <vt:lpstr>이윤율</vt:lpstr>
      <vt:lpstr>기업분석</vt:lpstr>
      <vt:lpstr>'2023년계약원가 비교'!Print_Area</vt:lpstr>
      <vt:lpstr>'36개월총괄'!Print_Area</vt:lpstr>
      <vt:lpstr>가동시간!Print_Area</vt:lpstr>
      <vt:lpstr>'간지#'!Print_Area</vt:lpstr>
      <vt:lpstr>감가상각비!Print_Area</vt:lpstr>
      <vt:lpstr>갑지!Print_Area</vt:lpstr>
      <vt:lpstr>경비집계!Print_Area</vt:lpstr>
      <vt:lpstr>'고정)건강검진비'!Print_Area</vt:lpstr>
      <vt:lpstr>'고정)교육훈련비'!Print_Area</vt:lpstr>
      <vt:lpstr>'고정)복리후생비집계'!Print_Area</vt:lpstr>
      <vt:lpstr>'고정)소모품비'!Print_Area</vt:lpstr>
      <vt:lpstr>'고정)식대'!Print_Area</vt:lpstr>
      <vt:lpstr>'고정)안전관리비'!Print_Area</vt:lpstr>
      <vt:lpstr>'고정)의약품'!Print_Area</vt:lpstr>
      <vt:lpstr>'고정)인적보험료'!Print_Area</vt:lpstr>
      <vt:lpstr>'고정)인적보험료집계'!Print_Area</vt:lpstr>
      <vt:lpstr>'고정)출장여비'!Print_Area</vt:lpstr>
      <vt:lpstr>'고정)통신비'!Print_Area</vt:lpstr>
      <vt:lpstr>'고정)피복비'!Print_Area</vt:lpstr>
      <vt:lpstr>근무일수!Print_Area</vt:lpstr>
      <vt:lpstr>기간현황!Print_Area</vt:lpstr>
      <vt:lpstr>기본급추정!Print_Area</vt:lpstr>
      <vt:lpstr>기업분석!Print_Area</vt:lpstr>
      <vt:lpstr>단위당인건비!Print_Area</vt:lpstr>
      <vt:lpstr>'변동)보안관리비'!Print_Area</vt:lpstr>
      <vt:lpstr>'변동)소모자재비'!Print_Area</vt:lpstr>
      <vt:lpstr>'변동)수선유지비'!Print_Area</vt:lpstr>
      <vt:lpstr>'변동)수집운반비'!Print_Area</vt:lpstr>
      <vt:lpstr>'변동)안전점검대행비'!Print_Area</vt:lpstr>
      <vt:lpstr>'변동)차량유지비'!Print_Area</vt:lpstr>
      <vt:lpstr>'변동)측정검사수수료'!Print_Area</vt:lpstr>
      <vt:lpstr>'변동-대)수도광열비'!Print_Area</vt:lpstr>
      <vt:lpstr>'변동-대)시설물보험료'!Print_Area</vt:lpstr>
      <vt:lpstr>'변동-대)전력비'!Print_Area</vt:lpstr>
      <vt:lpstr>보험료산정기준!Print_Area</vt:lpstr>
      <vt:lpstr>설명서!Print_Area</vt:lpstr>
      <vt:lpstr>수리수선비!Print_Area</vt:lpstr>
      <vt:lpstr>'수집운반_세금과공과 '!Print_Area</vt:lpstr>
      <vt:lpstr>엔지니어노임!Print_Area</vt:lpstr>
      <vt:lpstr>'용역원가(24년)'!Print_Area</vt:lpstr>
      <vt:lpstr>'용역원가(25년) '!Print_Area</vt:lpstr>
      <vt:lpstr>'용역원가(26년)'!Print_Area</vt:lpstr>
      <vt:lpstr>용역원가집계!Print_Area</vt:lpstr>
      <vt:lpstr>운임!Print_Area</vt:lpstr>
      <vt:lpstr>월기본급!Print_Area</vt:lpstr>
      <vt:lpstr>이윤!Print_Area</vt:lpstr>
      <vt:lpstr>이윤율!Print_Area</vt:lpstr>
      <vt:lpstr>인건비산정기준!Print_Area</vt:lpstr>
      <vt:lpstr>인건비집계!Print_Area</vt:lpstr>
      <vt:lpstr>일반관리비!Print_Area</vt:lpstr>
      <vt:lpstr>일반관리비율!Print_Area</vt:lpstr>
      <vt:lpstr>'일반-시행규칙'!Print_Area</vt:lpstr>
      <vt:lpstr>전력사용량!Print_Area</vt:lpstr>
      <vt:lpstr>제수당집계!Print_Area</vt:lpstr>
      <vt:lpstr>차수별용역비!Print_Area</vt:lpstr>
      <vt:lpstr>투입인원!Print_Area</vt:lpstr>
      <vt:lpstr>'고정)복리후생비집계'!Print_Titles</vt:lpstr>
      <vt:lpstr>'고정)인적보험료'!Print_Titles</vt:lpstr>
      <vt:lpstr>'고정)인적보험료집계'!Print_Titles</vt:lpstr>
      <vt:lpstr>기업분석!Print_Titles</vt:lpstr>
      <vt:lpstr>단위당인건비!Print_Titles</vt:lpstr>
      <vt:lpstr>월기본급!Print_Titles</vt:lpstr>
      <vt:lpstr>인건비집계!Print_Titles</vt:lpstr>
      <vt:lpstr>전력사용량!Print_Titles</vt:lpstr>
      <vt:lpstr>제수당집계!Print_Titles</vt:lpstr>
      <vt:lpstr>투입인원!Print_Titles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helpbiz</cp:lastModifiedBy>
  <cp:lastPrinted>2023-08-21T03:42:39Z</cp:lastPrinted>
  <dcterms:created xsi:type="dcterms:W3CDTF">2003-12-26T08:14:29Z</dcterms:created>
  <dcterms:modified xsi:type="dcterms:W3CDTF">2026-02-10T12:00:26Z</dcterms:modified>
</cp:coreProperties>
</file>