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i\Desktop\Excel\"/>
    </mc:Choice>
  </mc:AlternateContent>
  <xr:revisionPtr revIDLastSave="0" documentId="13_ncr:1_{5C9C59FF-6D7B-4804-BD56-39C33369D4E9}" xr6:coauthVersionLast="47" xr6:coauthVersionMax="47" xr10:uidLastSave="{00000000-0000-0000-0000-000000000000}"/>
  <bookViews>
    <workbookView xWindow="-120" yWindow="-120" windowWidth="29040" windowHeight="15840" xr2:uid="{F831219E-7BC5-40F4-A3B5-3960BAB2A38A}"/>
  </bookViews>
  <sheets>
    <sheet name="Interview Questions" sheetId="3" r:id="rId1"/>
    <sheet name="Data Cleanup (2)" sheetId="5" state="hidden" r:id="rId2"/>
  </sheets>
  <definedNames>
    <definedName name="solver_adj" localSheetId="0" hidden="1">'Interview Questions'!$C$170:$C$171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'Interview Questions'!$C$170</definedName>
    <definedName name="solver_lhs2" localSheetId="0" hidden="1">'Interview Questions'!$C$171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'Interview Questions'!$F$176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'Interview Questions'!$C$178</definedName>
    <definedName name="solver_rhs2" localSheetId="0" hidden="1">'Interview Questions'!$C$179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100000</definedName>
    <definedName name="solver_ver" localSheetId="0" hidden="1">3</definedName>
  </definedNames>
  <calcPr calcId="191029" iterate="1" concurrentCalc="0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5" i="3" l="1"/>
  <c r="D206" i="3"/>
  <c r="D207" i="3"/>
  <c r="E205" i="3"/>
  <c r="E206" i="3"/>
  <c r="E207" i="3"/>
  <c r="C205" i="3"/>
  <c r="C206" i="3"/>
  <c r="C207" i="3"/>
  <c r="D204" i="3"/>
  <c r="E204" i="3"/>
  <c r="F188" i="3"/>
  <c r="F189" i="3"/>
  <c r="F190" i="3"/>
  <c r="F191" i="3"/>
  <c r="F192" i="3"/>
  <c r="F193" i="3"/>
  <c r="F194" i="3"/>
  <c r="I187" i="3"/>
  <c r="I191" i="3"/>
  <c r="I192" i="3"/>
  <c r="I189" i="3"/>
  <c r="I188" i="3"/>
  <c r="M187" i="3"/>
  <c r="N187" i="3"/>
  <c r="K187" i="3"/>
  <c r="J187" i="3"/>
  <c r="F170" i="3"/>
  <c r="F171" i="3"/>
  <c r="F172" i="3"/>
  <c r="F173" i="3"/>
  <c r="F174" i="3"/>
  <c r="F175" i="3"/>
  <c r="F176" i="3"/>
  <c r="D152" i="3" a="1"/>
  <c r="D152" i="3"/>
  <c r="F152" i="3"/>
  <c r="C124" i="3"/>
  <c r="C123" i="3"/>
  <c r="D122" i="3"/>
  <c r="I111" i="3" a="1"/>
  <c r="I111" i="3"/>
  <c r="I103" i="3" a="1"/>
  <c r="I103" i="3"/>
  <c r="E113" i="3"/>
  <c r="F113" i="3"/>
  <c r="E112" i="3"/>
  <c r="F112" i="3"/>
  <c r="F153" i="3"/>
  <c r="F154" i="3"/>
  <c r="F155" i="3"/>
  <c r="F156" i="3"/>
  <c r="F157" i="3"/>
  <c r="F158" i="3"/>
  <c r="F159" i="3"/>
  <c r="F160" i="3"/>
  <c r="F161" i="3"/>
  <c r="J103" i="3"/>
  <c r="K103" i="3"/>
  <c r="J104" i="3"/>
  <c r="K104" i="3"/>
  <c r="J105" i="3"/>
  <c r="K105" i="3"/>
  <c r="J106" i="3"/>
  <c r="K106" i="3"/>
  <c r="J107" i="3"/>
  <c r="K107" i="3"/>
  <c r="J111" i="3"/>
  <c r="K111" i="3"/>
  <c r="J112" i="3"/>
  <c r="K112" i="3"/>
  <c r="J113" i="3"/>
  <c r="K113" i="3"/>
  <c r="J114" i="3"/>
  <c r="K114" i="3"/>
  <c r="J115" i="3"/>
  <c r="K115" i="3"/>
  <c r="D124" i="3"/>
  <c r="D123" i="3"/>
  <c r="E122" i="3"/>
  <c r="I56" i="3"/>
  <c r="H56" i="3"/>
  <c r="G56" i="3"/>
  <c r="F56" i="3"/>
  <c r="E56" i="3"/>
  <c r="D56" i="3"/>
  <c r="C56" i="3"/>
  <c r="I52" i="3"/>
  <c r="I57" i="3"/>
  <c r="I59" i="3"/>
  <c r="H52" i="3"/>
  <c r="H57" i="3"/>
  <c r="H59" i="3"/>
  <c r="G52" i="3"/>
  <c r="G57" i="3"/>
  <c r="G59" i="3"/>
  <c r="F52" i="3"/>
  <c r="F57" i="3"/>
  <c r="F59" i="3"/>
  <c r="E52" i="3"/>
  <c r="E57" i="3"/>
  <c r="E59" i="3"/>
  <c r="D52" i="3"/>
  <c r="D57" i="3"/>
  <c r="D59" i="3"/>
  <c r="C52" i="3"/>
  <c r="C57" i="3"/>
  <c r="C59" i="3"/>
  <c r="L14" i="3"/>
  <c r="L12" i="3"/>
  <c r="F11" i="3"/>
  <c r="F7" i="3"/>
  <c r="F122" i="3"/>
  <c r="E124" i="3"/>
  <c r="E123" i="3"/>
  <c r="L13" i="3"/>
  <c r="L15" i="3"/>
  <c r="G122" i="3"/>
  <c r="F124" i="3"/>
  <c r="F123" i="3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G124" i="3"/>
  <c r="G123" i="3"/>
  <c r="M125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<sst xmlns="http://schemas.openxmlformats.org/spreadsheetml/2006/main" count="515" uniqueCount="353">
  <si>
    <t>Location:</t>
  </si>
  <si>
    <t>Question: Use text to columns, conditional formatting, and other excel functions to clean up this raw data import</t>
  </si>
  <si>
    <t>Data Import</t>
  </si>
  <si>
    <t>Squid Ward</t>
  </si>
  <si>
    <t>Sponge Bob</t>
  </si>
  <si>
    <t>Homer Simp</t>
  </si>
  <si>
    <t>Elon Jobs</t>
  </si>
  <si>
    <t>Steve Musk</t>
  </si>
  <si>
    <t>Warren Munger</t>
  </si>
  <si>
    <t>Charlie Buffett</t>
  </si>
  <si>
    <t>Kobe James</t>
  </si>
  <si>
    <t>Jordan Bryant</t>
  </si>
  <si>
    <t>Tom Manning</t>
  </si>
  <si>
    <t>Peyton Brady</t>
  </si>
  <si>
    <t>Bob Builder</t>
  </si>
  <si>
    <t>Messi Ronaldo</t>
  </si>
  <si>
    <t>Roger Nadal</t>
  </si>
  <si>
    <t>Rafael Federer</t>
  </si>
  <si>
    <t>Austin</t>
  </si>
  <si>
    <t>sward@gmail.com</t>
  </si>
  <si>
    <t>sbob@gmail.com</t>
  </si>
  <si>
    <t>smusk@gmail.com</t>
  </si>
  <si>
    <t>hsimp@gmail.com</t>
  </si>
  <si>
    <t>ejobs@gmail.com</t>
  </si>
  <si>
    <t>wmunger@gmail.com</t>
  </si>
  <si>
    <t>cbuffett@gmail.com</t>
  </si>
  <si>
    <t>kjames@gmail.com</t>
  </si>
  <si>
    <t>jbryant@gmail.com</t>
  </si>
  <si>
    <t>tmanning@gmail.com</t>
  </si>
  <si>
    <t>pbrady@gmail.com</t>
  </si>
  <si>
    <t>bbuilder@gmail.com</t>
  </si>
  <si>
    <t>mronaldo@gmail.com</t>
  </si>
  <si>
    <t>rnadal@gmail.com</t>
  </si>
  <si>
    <t>rfederer@gmail.com</t>
  </si>
  <si>
    <t xml:space="preserve"> Transaction ID </t>
  </si>
  <si>
    <t xml:space="preserve"> Honolulu</t>
  </si>
  <si>
    <t xml:space="preserve"> Austin</t>
  </si>
  <si>
    <t xml:space="preserve"> Seattle</t>
  </si>
  <si>
    <t xml:space="preserve"> Hawaii </t>
  </si>
  <si>
    <t xml:space="preserve"> Texas </t>
  </si>
  <si>
    <t xml:space="preserve"> Washington </t>
  </si>
  <si>
    <t xml:space="preserve">Purchase Amount </t>
  </si>
  <si>
    <t xml:space="preserve"> Email </t>
  </si>
  <si>
    <t>Chicago</t>
  </si>
  <si>
    <t xml:space="preserve"> Illinois </t>
  </si>
  <si>
    <t xml:space="preserve"> Chicago</t>
  </si>
  <si>
    <t xml:space="preserve"> Cleveland</t>
  </si>
  <si>
    <t xml:space="preserve"> Ohio </t>
  </si>
  <si>
    <t>Purchase</t>
  </si>
  <si>
    <t>Bob</t>
  </si>
  <si>
    <t>Warren</t>
  </si>
  <si>
    <t>Charlie</t>
  </si>
  <si>
    <t>Buffett</t>
  </si>
  <si>
    <t>Kobe</t>
  </si>
  <si>
    <t>James</t>
  </si>
  <si>
    <t>Jordan</t>
  </si>
  <si>
    <t>Bryant</t>
  </si>
  <si>
    <t>Roger</t>
  </si>
  <si>
    <t>Nadal</t>
  </si>
  <si>
    <t>Rafael</t>
  </si>
  <si>
    <t>Federer</t>
  </si>
  <si>
    <t>First</t>
  </si>
  <si>
    <t>Last</t>
  </si>
  <si>
    <t>Sales Tax</t>
  </si>
  <si>
    <t>Profitability</t>
  </si>
  <si>
    <t>Revenue:</t>
  </si>
  <si>
    <t>Total Revenue</t>
  </si>
  <si>
    <t>COGS:</t>
  </si>
  <si>
    <t>Total COGS</t>
  </si>
  <si>
    <t>Gross Margin</t>
  </si>
  <si>
    <t>Gross Margin %</t>
  </si>
  <si>
    <t>Income Statement</t>
  </si>
  <si>
    <t>Date</t>
  </si>
  <si>
    <t>Order ID</t>
  </si>
  <si>
    <t>Henry</t>
  </si>
  <si>
    <t>Profit</t>
  </si>
  <si>
    <t>Sales</t>
  </si>
  <si>
    <t>Office Location</t>
  </si>
  <si>
    <t>Tokyo</t>
  </si>
  <si>
    <t>Paris</t>
  </si>
  <si>
    <t>London</t>
  </si>
  <si>
    <t>Madrid</t>
  </si>
  <si>
    <t>Prague</t>
  </si>
  <si>
    <t>Buenos Aires</t>
  </si>
  <si>
    <t>Employee</t>
  </si>
  <si>
    <t>Employee:</t>
  </si>
  <si>
    <t>Assumptions</t>
  </si>
  <si>
    <t>Products</t>
  </si>
  <si>
    <t>Services</t>
  </si>
  <si>
    <t>John Doe</t>
  </si>
  <si>
    <t>Emma Johnson</t>
  </si>
  <si>
    <t>Sophia Martinez</t>
  </si>
  <si>
    <t>Oliver Anderson</t>
  </si>
  <si>
    <t>Emily Roberts</t>
  </si>
  <si>
    <t>Isaac Jenkins</t>
  </si>
  <si>
    <t>Grace Phillips</t>
  </si>
  <si>
    <t>Ethan Cooper</t>
  </si>
  <si>
    <t>Ava Turner</t>
  </si>
  <si>
    <t>Liam Davis</t>
  </si>
  <si>
    <t>Mia Thompson</t>
  </si>
  <si>
    <t>Lucas Rodriguez</t>
  </si>
  <si>
    <t>Sophie Wilson</t>
  </si>
  <si>
    <t>Q1</t>
  </si>
  <si>
    <t>Using the given data, what is the office location of the employee with the name "Sophia Martinez"?</t>
  </si>
  <si>
    <t>VLOOKUP</t>
  </si>
  <si>
    <t>INDEX + MATCH</t>
  </si>
  <si>
    <t>Q2</t>
  </si>
  <si>
    <t>In order to achieve a profit of $20,000, how many shirts do we need to sell?</t>
  </si>
  <si>
    <t>Sales Price per Shirt</t>
  </si>
  <si>
    <t>Cost per Shirt</t>
  </si>
  <si>
    <t>Shirts Sold</t>
  </si>
  <si>
    <t>Cost of shirts</t>
  </si>
  <si>
    <t>Q3</t>
  </si>
  <si>
    <t>Please clean the dataset and identify the sales transactions that are less than $300.</t>
  </si>
  <si>
    <t>Cleaned Data</t>
  </si>
  <si>
    <t>1. Squidward Tentacles 2001 Honolulu Hawaii 315.5</t>
  </si>
  <si>
    <t>2. Patrick Star 2002 Honolulu Hawaii 275.75</t>
  </si>
  <si>
    <t>3. Lisa Simpson 2003 Austin Texas 290.25</t>
  </si>
  <si>
    <t>4. Tony Stark 2004 Austin Texas 275.75</t>
  </si>
  <si>
    <t>5. Bruce Wayne 2005 Austin Texas 290.25</t>
  </si>
  <si>
    <t>6. Peter Parker 2006 Chicago Illinois 300.75</t>
  </si>
  <si>
    <t>7. Clark Kent 2007 Chicago Illinois 330.25</t>
  </si>
  <si>
    <t>8. Diana Prince 2008 Chicago Illinois 323.5</t>
  </si>
  <si>
    <t>9. LeBron James 2009 Cleveland Ohio 310.5</t>
  </si>
  <si>
    <t>10. Michael Jordan 2010 Cleveland Ohio 265.75</t>
  </si>
  <si>
    <t>11. Kobe Bryant 2011 Cleveland Ohio 245.5</t>
  </si>
  <si>
    <t>12. Jeff Bezos 2012 Seattle Washington 335.75</t>
  </si>
  <si>
    <t>13. Warren Buffett 2013 Seattle Washington 328.25</t>
  </si>
  <si>
    <t>14. Roger Federer 2014 Seattle Washington 300.75</t>
  </si>
  <si>
    <t>15. Rafael Nadal 2015 Seattle Washington 245.5</t>
  </si>
  <si>
    <t>ID</t>
  </si>
  <si>
    <t>FirstName</t>
  </si>
  <si>
    <t>LastName</t>
  </si>
  <si>
    <t>Zip Code</t>
  </si>
  <si>
    <t>City</t>
  </si>
  <si>
    <t>State</t>
  </si>
  <si>
    <t>Amount</t>
  </si>
  <si>
    <t>Squidward</t>
  </si>
  <si>
    <t>Tentacles</t>
  </si>
  <si>
    <t>Honolulu</t>
  </si>
  <si>
    <t>Hawaii</t>
  </si>
  <si>
    <t>Patrick</t>
  </si>
  <si>
    <t>Star</t>
  </si>
  <si>
    <t>Lisa</t>
  </si>
  <si>
    <t>Simpson</t>
  </si>
  <si>
    <t>Texas</t>
  </si>
  <si>
    <t>Tony</t>
  </si>
  <si>
    <t>Stark</t>
  </si>
  <si>
    <t>Bruce</t>
  </si>
  <si>
    <t>Wayne</t>
  </si>
  <si>
    <t>Peter</t>
  </si>
  <si>
    <t>Parker</t>
  </si>
  <si>
    <t>Illinois</t>
  </si>
  <si>
    <t>Clark</t>
  </si>
  <si>
    <t>Kent</t>
  </si>
  <si>
    <t>Diana</t>
  </si>
  <si>
    <t>Prince</t>
  </si>
  <si>
    <t>LeBron</t>
  </si>
  <si>
    <t>Cleveland</t>
  </si>
  <si>
    <t>Ohio</t>
  </si>
  <si>
    <t>Michael</t>
  </si>
  <si>
    <t>Jeff</t>
  </si>
  <si>
    <t>Bezos</t>
  </si>
  <si>
    <t>Seattle</t>
  </si>
  <si>
    <t>Washington</t>
  </si>
  <si>
    <t>Text To Column - Conditional Formating</t>
  </si>
  <si>
    <t>Q4</t>
  </si>
  <si>
    <t>Can you generate a chart that displays the revenue and gross margin percentage for both products and services?</t>
  </si>
  <si>
    <t>Can you provide a quarterly breakdown of the quantity sold, total sales, and average sale price?</t>
  </si>
  <si>
    <t>Alice</t>
  </si>
  <si>
    <t>Johnson</t>
  </si>
  <si>
    <t>Thompson</t>
  </si>
  <si>
    <t>Davis</t>
  </si>
  <si>
    <t>David</t>
  </si>
  <si>
    <t>Wilson</t>
  </si>
  <si>
    <t>Emma</t>
  </si>
  <si>
    <t>Finn</t>
  </si>
  <si>
    <t>Lewis</t>
  </si>
  <si>
    <t>Grace</t>
  </si>
  <si>
    <t>Martinez</t>
  </si>
  <si>
    <t>Roberts</t>
  </si>
  <si>
    <t>Isabella</t>
  </si>
  <si>
    <t>Walker</t>
  </si>
  <si>
    <t>Jacob</t>
  </si>
  <si>
    <t>Hall</t>
  </si>
  <si>
    <t>Kate</t>
  </si>
  <si>
    <t>Adams</t>
  </si>
  <si>
    <t>Liam</t>
  </si>
  <si>
    <t>Scott</t>
  </si>
  <si>
    <t>Mia</t>
  </si>
  <si>
    <t>Turner</t>
  </si>
  <si>
    <t>Noah</t>
  </si>
  <si>
    <t>Mitchell</t>
  </si>
  <si>
    <t>Olivia</t>
  </si>
  <si>
    <t>King</t>
  </si>
  <si>
    <t>Baker</t>
  </si>
  <si>
    <t>Quinn</t>
  </si>
  <si>
    <t>Phillips</t>
  </si>
  <si>
    <t>Ryan</t>
  </si>
  <si>
    <t>Sophia</t>
  </si>
  <si>
    <t>Morris</t>
  </si>
  <si>
    <t>Thomas</t>
  </si>
  <si>
    <t>Cooper</t>
  </si>
  <si>
    <t>Victoria</t>
  </si>
  <si>
    <t>Rivera</t>
  </si>
  <si>
    <t>William</t>
  </si>
  <si>
    <t>Wood</t>
  </si>
  <si>
    <t>Xavier</t>
  </si>
  <si>
    <t>Reed</t>
  </si>
  <si>
    <t>Zoe</t>
  </si>
  <si>
    <t>Collins</t>
  </si>
  <si>
    <t>Ethan</t>
  </si>
  <si>
    <t>Perez</t>
  </si>
  <si>
    <t>Lily</t>
  </si>
  <si>
    <t>Row Labels</t>
  </si>
  <si>
    <t>Grand Total</t>
  </si>
  <si>
    <t>2020</t>
  </si>
  <si>
    <t>Qtr1</t>
  </si>
  <si>
    <t>Qtr2</t>
  </si>
  <si>
    <t>Qtr3</t>
  </si>
  <si>
    <t>Qtr4</t>
  </si>
  <si>
    <t>2021</t>
  </si>
  <si>
    <t>Quantity Sold</t>
  </si>
  <si>
    <t>Total Sales</t>
  </si>
  <si>
    <t>Average Sale Price</t>
  </si>
  <si>
    <t>Pivot Table</t>
  </si>
  <si>
    <t>Recommended Charts</t>
  </si>
  <si>
    <t>Q6</t>
  </si>
  <si>
    <t>Q5</t>
  </si>
  <si>
    <t>Brand</t>
  </si>
  <si>
    <t>Revenue</t>
  </si>
  <si>
    <t>COGS</t>
  </si>
  <si>
    <t>Top 5 Gross Margin %</t>
  </si>
  <si>
    <t>Rank</t>
  </si>
  <si>
    <t>Margin %</t>
  </si>
  <si>
    <t>Bottom 5 Gross Margin %</t>
  </si>
  <si>
    <t>Georgia Coffee</t>
  </si>
  <si>
    <t>Aquarius</t>
  </si>
  <si>
    <t>Can you populate the tables to display the top 5 and bottom 5 brands based on their gross margin percentages?</t>
  </si>
  <si>
    <t>Nike</t>
  </si>
  <si>
    <t>Adidas</t>
  </si>
  <si>
    <t>Apple</t>
  </si>
  <si>
    <t>Samsung</t>
  </si>
  <si>
    <t>Microsoft</t>
  </si>
  <si>
    <t>Puma</t>
  </si>
  <si>
    <t>Tesla</t>
  </si>
  <si>
    <t>Amazon</t>
  </si>
  <si>
    <t>Google</t>
  </si>
  <si>
    <t>Facebook</t>
  </si>
  <si>
    <t>Large - XLOOKUP</t>
  </si>
  <si>
    <t>Small - XLOOKUP</t>
  </si>
  <si>
    <t>NY</t>
  </si>
  <si>
    <t>Data</t>
  </si>
  <si>
    <t>Period</t>
  </si>
  <si>
    <t>Revenues</t>
  </si>
  <si>
    <t>Expenses</t>
  </si>
  <si>
    <t>Net Income</t>
  </si>
  <si>
    <t>CT</t>
  </si>
  <si>
    <t>FL</t>
  </si>
  <si>
    <t>Q7</t>
  </si>
  <si>
    <t>Can you provide two different formulas to calculate the Net Income in New York for the months of January to May, using the data provided below?</t>
  </si>
  <si>
    <t>SUMIFS</t>
  </si>
  <si>
    <t>INDEX - MATCH</t>
  </si>
  <si>
    <t>Choose Month -&gt;</t>
  </si>
  <si>
    <t>Net Income in NY</t>
  </si>
  <si>
    <t>Q8</t>
  </si>
  <si>
    <t>Step 1: Create a dropdown list of months.</t>
  </si>
  <si>
    <t>Step 2: Establish a connection between the Net Income in New York and the selected month from the dropdown list.</t>
  </si>
  <si>
    <t>XLOOKUP</t>
  </si>
  <si>
    <t>Data - Data Validation - List</t>
  </si>
  <si>
    <t>Raw Data</t>
  </si>
  <si>
    <t>Sam sMIth   479585665 AZ</t>
  </si>
  <si>
    <t>Josh        JACk   209758689 CA</t>
  </si>
  <si>
    <t>THEREsa Mayer      303127896 CO</t>
  </si>
  <si>
    <t>Adam   JohnSON 303025168    co</t>
  </si>
  <si>
    <t xml:space="preserve">     Sammy Lee   212558667 ny</t>
  </si>
  <si>
    <t>John      LEE  603548687  NH</t>
  </si>
  <si>
    <t>MARK             Andersen                732335487 NJ</t>
  </si>
  <si>
    <t>Sarah Von      207789252    me</t>
  </si>
  <si>
    <t>Hanna                Hoover      610023585 PA</t>
  </si>
  <si>
    <t>Irina  Adams 401178699 RI</t>
  </si>
  <si>
    <t>Q9</t>
  </si>
  <si>
    <t>Cleanse the given dataset and generate a table consisting of the first name, last name, phone number, and state information.</t>
  </si>
  <si>
    <t>TRIMMED</t>
  </si>
  <si>
    <t>PROPER</t>
  </si>
  <si>
    <t>PhoneNumber</t>
  </si>
  <si>
    <t>StateInfo</t>
  </si>
  <si>
    <t>Sam Smith 479585665 Az</t>
  </si>
  <si>
    <t>Josh Jack 209758689 Ca</t>
  </si>
  <si>
    <t>Theresa Mayer 303127896 Co</t>
  </si>
  <si>
    <t>Adam Johnson 303025168 Co</t>
  </si>
  <si>
    <t>Sammy Lee 212558667 Ny</t>
  </si>
  <si>
    <t>John Lee 603548687 Nh</t>
  </si>
  <si>
    <t>Mark Andersen 732335487 Nj</t>
  </si>
  <si>
    <t>Sarah Von 207789252 Me</t>
  </si>
  <si>
    <t>Hanna Hoover 610023585 Pa</t>
  </si>
  <si>
    <t>Irina Adams 401178699 Ri</t>
  </si>
  <si>
    <t>Text</t>
  </si>
  <si>
    <t>Sam</t>
  </si>
  <si>
    <t>Smith</t>
  </si>
  <si>
    <t>Josh</t>
  </si>
  <si>
    <t>Jack</t>
  </si>
  <si>
    <t>Theresa</t>
  </si>
  <si>
    <t>Mayer</t>
  </si>
  <si>
    <t>Adam</t>
  </si>
  <si>
    <t>Sammy</t>
  </si>
  <si>
    <t>Lee</t>
  </si>
  <si>
    <t>John</t>
  </si>
  <si>
    <t>Mark</t>
  </si>
  <si>
    <t>Andersen</t>
  </si>
  <si>
    <t>Sarah</t>
  </si>
  <si>
    <t>Von</t>
  </si>
  <si>
    <t>Hanna</t>
  </si>
  <si>
    <t>Hoover</t>
  </si>
  <si>
    <t>Irina</t>
  </si>
  <si>
    <t>WHAT IF ANALYSIS - GOAL SEEK</t>
  </si>
  <si>
    <t>AZ</t>
  </si>
  <si>
    <t>CA</t>
  </si>
  <si>
    <t>CO</t>
  </si>
  <si>
    <t>NH</t>
  </si>
  <si>
    <t>NJ</t>
  </si>
  <si>
    <t>ME</t>
  </si>
  <si>
    <t>PA</t>
  </si>
  <si>
    <t>RI</t>
  </si>
  <si>
    <t>Q10</t>
  </si>
  <si>
    <t>Units sold</t>
  </si>
  <si>
    <t>Price per unit</t>
  </si>
  <si>
    <t>Cost per unit</t>
  </si>
  <si>
    <t>Gross Profit</t>
  </si>
  <si>
    <t>Tax rate</t>
  </si>
  <si>
    <t>Earnings Before Tax</t>
  </si>
  <si>
    <t>Taxes</t>
  </si>
  <si>
    <t>Net Income (Loss)</t>
  </si>
  <si>
    <t>How many bracelets do we need to sell to reach the final income of 100,000 dollars?</t>
  </si>
  <si>
    <t>Other Costs</t>
  </si>
  <si>
    <t>Constraints</t>
  </si>
  <si>
    <t>What if analysis - Goal Seek</t>
  </si>
  <si>
    <t>Q11</t>
  </si>
  <si>
    <t>Sensitivity Analysis</t>
  </si>
  <si>
    <t>Price &amp; Quantity Sensitivity</t>
  </si>
  <si>
    <t>Price per Unit</t>
  </si>
  <si>
    <t>How many bracelets do we need to sell to reach the final income of 100,000 dollars in different prices and quantity sold?</t>
  </si>
  <si>
    <t>Scenario Analysis</t>
  </si>
  <si>
    <t>$ in actual figures</t>
  </si>
  <si>
    <t>Costs</t>
  </si>
  <si>
    <t>Revenue Scenarios</t>
  </si>
  <si>
    <t>1. Best Case</t>
  </si>
  <si>
    <t>2. Base Case</t>
  </si>
  <si>
    <t>3. Worst Case</t>
  </si>
  <si>
    <t>Cost Scenarios</t>
  </si>
  <si>
    <t>Q12</t>
  </si>
  <si>
    <t>What are the best, base and worst case scenarios for cost and revenue?</t>
  </si>
  <si>
    <t>Choose Scenario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</si>
</sst>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yyyy"/>
    <numFmt numFmtId="169" formatCode="\+\1\ \(###\)\ ###\-###"/>
    <numFmt numFmtId="172" formatCode="0.0"/>
    <numFmt numFmtId="173" formatCode="yyyy\E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E7E6E6"/>
      </patternFill>
    </fill>
    <fill>
      <patternFill patternType="solid">
        <fgColor theme="9" tint="0.39997558519241921"/>
        <bgColor rgb="FF2A3E6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rgb="FFFFFF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4" fontId="0" fillId="0" borderId="0" xfId="0" applyNumberFormat="1"/>
    <xf numFmtId="6" fontId="0" fillId="0" borderId="0" xfId="0" applyNumberFormat="1"/>
    <xf numFmtId="0" fontId="4" fillId="0" borderId="0" xfId="3"/>
    <xf numFmtId="0" fontId="0" fillId="0" borderId="0" xfId="0" applyAlignment="1">
      <alignment horizontal="left" indent="1"/>
    </xf>
    <xf numFmtId="0" fontId="2" fillId="0" borderId="1" xfId="0" applyFont="1" applyBorder="1"/>
    <xf numFmtId="37" fontId="0" fillId="0" borderId="0" xfId="0" applyNumberFormat="1"/>
    <xf numFmtId="37" fontId="2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2" fillId="0" borderId="2" xfId="0" applyFont="1" applyBorder="1"/>
    <xf numFmtId="37" fontId="2" fillId="0" borderId="2" xfId="0" applyNumberFormat="1" applyFont="1" applyBorder="1"/>
    <xf numFmtId="0" fontId="6" fillId="0" borderId="0" xfId="0" applyFont="1"/>
    <xf numFmtId="9" fontId="6" fillId="0" borderId="0" xfId="0" applyNumberFormat="1" applyFont="1"/>
    <xf numFmtId="14" fontId="0" fillId="0" borderId="0" xfId="0" applyNumberFormat="1" applyAlignment="1">
      <alignment horizontal="left"/>
    </xf>
    <xf numFmtId="9" fontId="0" fillId="0" borderId="0" xfId="0" applyNumberFormat="1"/>
    <xf numFmtId="2" fontId="0" fillId="0" borderId="0" xfId="0" applyNumberFormat="1"/>
    <xf numFmtId="7" fontId="0" fillId="0" borderId="0" xfId="2" applyNumberFormat="1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 wrapText="1"/>
    </xf>
    <xf numFmtId="6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166" fontId="0" fillId="0" borderId="0" xfId="0" applyNumberFormat="1"/>
    <xf numFmtId="0" fontId="2" fillId="2" borderId="0" xfId="0" applyFont="1" applyFill="1" applyAlignment="1">
      <alignment horizontal="center"/>
    </xf>
    <xf numFmtId="165" fontId="10" fillId="0" borderId="0" xfId="0" applyNumberFormat="1" applyFont="1"/>
    <xf numFmtId="0" fontId="8" fillId="0" borderId="0" xfId="0" applyFont="1"/>
    <xf numFmtId="0" fontId="1" fillId="0" borderId="0" xfId="0" applyFont="1"/>
    <xf numFmtId="167" fontId="10" fillId="0" borderId="0" xfId="0" applyNumberFormat="1" applyFont="1"/>
    <xf numFmtId="168" fontId="13" fillId="4" borderId="0" xfId="0" applyNumberFormat="1" applyFont="1" applyFill="1" applyAlignment="1">
      <alignment horizontal="center" vertical="center"/>
    </xf>
    <xf numFmtId="168" fontId="13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67" fontId="0" fillId="0" borderId="0" xfId="7" applyNumberFormat="1" applyFont="1"/>
    <xf numFmtId="0" fontId="2" fillId="0" borderId="0" xfId="0" applyFont="1"/>
    <xf numFmtId="17" fontId="0" fillId="0" borderId="0" xfId="0" applyNumberFormat="1"/>
    <xf numFmtId="165" fontId="0" fillId="0" borderId="0" xfId="1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17" fontId="14" fillId="2" borderId="0" xfId="0" applyNumberFormat="1" applyFont="1" applyFill="1"/>
    <xf numFmtId="165" fontId="0" fillId="6" borderId="0" xfId="1" applyNumberFormat="1" applyFont="1" applyFill="1"/>
    <xf numFmtId="0" fontId="0" fillId="6" borderId="0" xfId="0" applyFill="1" applyAlignment="1">
      <alignment horizontal="left"/>
    </xf>
    <xf numFmtId="0" fontId="0" fillId="6" borderId="0" xfId="0" applyFill="1"/>
    <xf numFmtId="166" fontId="0" fillId="6" borderId="0" xfId="0" applyNumberFormat="1" applyFill="1"/>
    <xf numFmtId="0" fontId="2" fillId="6" borderId="2" xfId="0" applyFont="1" applyFill="1" applyBorder="1"/>
    <xf numFmtId="37" fontId="2" fillId="6" borderId="2" xfId="0" applyNumberFormat="1" applyFont="1" applyFill="1" applyBorder="1"/>
    <xf numFmtId="7" fontId="2" fillId="6" borderId="2" xfId="0" applyNumberFormat="1" applyFont="1" applyFill="1" applyBorder="1"/>
    <xf numFmtId="165" fontId="1" fillId="6" borderId="0" xfId="1" applyNumberFormat="1" applyFont="1" applyFill="1" applyBorder="1"/>
    <xf numFmtId="17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" fontId="0" fillId="0" borderId="0" xfId="0" applyNumberFormat="1" applyAlignment="1">
      <alignment vertical="center" wrapText="1"/>
    </xf>
    <xf numFmtId="0" fontId="2" fillId="0" borderId="0" xfId="0" applyFont="1" applyAlignment="1">
      <alignment horizontal="right"/>
    </xf>
    <xf numFmtId="17" fontId="2" fillId="5" borderId="4" xfId="0" applyNumberFormat="1" applyFont="1" applyFill="1" applyBorder="1"/>
    <xf numFmtId="165" fontId="2" fillId="5" borderId="4" xfId="1" applyNumberFormat="1" applyFont="1" applyFill="1" applyBorder="1"/>
    <xf numFmtId="0" fontId="16" fillId="0" borderId="0" xfId="0" applyFont="1"/>
    <xf numFmtId="0" fontId="5" fillId="0" borderId="0" xfId="0" applyFont="1"/>
    <xf numFmtId="165" fontId="0" fillId="2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left"/>
    </xf>
    <xf numFmtId="0" fontId="15" fillId="2" borderId="0" xfId="0" applyFont="1" applyFill="1"/>
    <xf numFmtId="0" fontId="14" fillId="7" borderId="0" xfId="0" applyFont="1" applyFill="1"/>
    <xf numFmtId="0" fontId="11" fillId="8" borderId="0" xfId="0" applyFont="1" applyFill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5" fillId="7" borderId="0" xfId="0" applyFont="1" applyFill="1" applyAlignment="1">
      <alignment horizontal="center"/>
    </xf>
    <xf numFmtId="165" fontId="2" fillId="0" borderId="0" xfId="1" applyNumberFormat="1" applyFont="1"/>
    <xf numFmtId="169" fontId="0" fillId="0" borderId="0" xfId="0" applyNumberFormat="1" applyAlignment="1">
      <alignment horizontal="center"/>
    </xf>
    <xf numFmtId="0" fontId="15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68" fontId="12" fillId="4" borderId="3" xfId="0" applyNumberFormat="1" applyFont="1" applyFill="1" applyBorder="1" applyAlignment="1">
      <alignment horizontal="center"/>
    </xf>
    <xf numFmtId="0" fontId="9" fillId="2" borderId="3" xfId="0" applyFont="1" applyFill="1" applyBorder="1"/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165" fontId="17" fillId="0" borderId="0" xfId="1" applyNumberFormat="1" applyFont="1"/>
    <xf numFmtId="43" fontId="17" fillId="0" borderId="0" xfId="1" applyFont="1"/>
    <xf numFmtId="0" fontId="5" fillId="0" borderId="5" xfId="0" applyFont="1" applyBorder="1"/>
    <xf numFmtId="165" fontId="5" fillId="0" borderId="5" xfId="1" applyNumberFormat="1" applyFont="1" applyBorder="1"/>
    <xf numFmtId="9" fontId="17" fillId="0" borderId="0" xfId="0" applyNumberFormat="1" applyFont="1"/>
    <xf numFmtId="165" fontId="0" fillId="0" borderId="0" xfId="1" applyNumberFormat="1" applyFont="1" applyAlignment="1">
      <alignment horizontal="right"/>
    </xf>
    <xf numFmtId="0" fontId="5" fillId="9" borderId="6" xfId="0" applyFont="1" applyFill="1" applyBorder="1"/>
    <xf numFmtId="165" fontId="5" fillId="9" borderId="6" xfId="1" applyNumberFormat="1" applyFont="1" applyFill="1" applyBorder="1"/>
    <xf numFmtId="0" fontId="18" fillId="2" borderId="0" xfId="0" applyFont="1" applyFill="1" applyAlignment="1">
      <alignment horizontal="center"/>
    </xf>
    <xf numFmtId="165" fontId="19" fillId="0" borderId="0" xfId="1" applyNumberFormat="1" applyFont="1"/>
    <xf numFmtId="43" fontId="19" fillId="0" borderId="0" xfId="1" applyFont="1"/>
    <xf numFmtId="9" fontId="19" fillId="0" borderId="0" xfId="0" applyNumberFormat="1" applyFont="1"/>
    <xf numFmtId="0" fontId="5" fillId="6" borderId="6" xfId="0" applyFont="1" applyFill="1" applyBorder="1"/>
    <xf numFmtId="165" fontId="5" fillId="6" borderId="6" xfId="1" applyNumberFormat="1" applyFont="1" applyFill="1" applyBorder="1"/>
    <xf numFmtId="0" fontId="5" fillId="6" borderId="2" xfId="0" applyFont="1" applyFill="1" applyBorder="1"/>
    <xf numFmtId="165" fontId="0" fillId="6" borderId="2" xfId="1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center"/>
    </xf>
    <xf numFmtId="165" fontId="0" fillId="0" borderId="6" xfId="1" applyNumberFormat="1" applyFont="1" applyBorder="1"/>
    <xf numFmtId="0" fontId="5" fillId="0" borderId="8" xfId="0" applyFont="1" applyBorder="1" applyAlignment="1">
      <alignment horizontal="right" vertical="center" textRotation="90"/>
    </xf>
    <xf numFmtId="172" fontId="0" fillId="0" borderId="9" xfId="0" applyNumberFormat="1" applyBorder="1" applyAlignment="1">
      <alignment horizontal="center"/>
    </xf>
    <xf numFmtId="165" fontId="18" fillId="0" borderId="0" xfId="0" applyNumberFormat="1" applyFont="1"/>
    <xf numFmtId="165" fontId="0" fillId="2" borderId="0" xfId="1" applyNumberFormat="1" applyFont="1" applyFill="1"/>
    <xf numFmtId="165" fontId="0" fillId="10" borderId="0" xfId="1" applyNumberFormat="1" applyFont="1" applyFill="1"/>
    <xf numFmtId="0" fontId="5" fillId="11" borderId="0" xfId="0" applyFont="1" applyFill="1"/>
    <xf numFmtId="173" fontId="0" fillId="11" borderId="0" xfId="0" applyNumberFormat="1" applyFill="1"/>
    <xf numFmtId="0" fontId="0" fillId="11" borderId="0" xfId="0" applyFill="1" applyAlignment="1">
      <alignment horizontal="left" indent="1"/>
    </xf>
    <xf numFmtId="165" fontId="17" fillId="11" borderId="0" xfId="1" applyNumberFormat="1" applyFont="1" applyFill="1"/>
    <xf numFmtId="0" fontId="0" fillId="11" borderId="0" xfId="0" applyFill="1"/>
    <xf numFmtId="0" fontId="17" fillId="11" borderId="0" xfId="0" applyFont="1" applyFill="1"/>
    <xf numFmtId="0" fontId="18" fillId="2" borderId="0" xfId="0" applyFont="1" applyFill="1" applyAlignment="1">
      <alignment horizontal="left"/>
    </xf>
    <xf numFmtId="168" fontId="18" fillId="2" borderId="0" xfId="0" applyNumberFormat="1" applyFont="1" applyFill="1"/>
    <xf numFmtId="0" fontId="5" fillId="7" borderId="0" xfId="0" applyFont="1" applyFill="1" applyBorder="1"/>
    <xf numFmtId="165" fontId="5" fillId="7" borderId="0" xfId="1" applyNumberFormat="1" applyFont="1" applyFill="1" applyBorder="1"/>
    <xf numFmtId="165" fontId="5" fillId="7" borderId="4" xfId="1" applyNumberFormat="1" applyFont="1" applyFill="1" applyBorder="1"/>
  </cellXfs>
  <cellStyles count="8">
    <cellStyle name="Comma" xfId="1" builtinId="3"/>
    <cellStyle name="Currency" xfId="2" builtinId="4"/>
    <cellStyle name="Hyperlink" xfId="3" builtinId="8"/>
    <cellStyle name="Hyperlink 2" xfId="5" xr:uid="{49547ED2-D154-4A45-8FF0-5EC761416F3C}"/>
    <cellStyle name="Hyperlink 2 2" xfId="6" xr:uid="{5744C293-32D9-42CC-80D3-111395069976}"/>
    <cellStyle name="Normal" xfId="0" builtinId="0"/>
    <cellStyle name="Normal 2" xfId="4" xr:uid="{0BF57A7B-7850-4B56-82C1-93D3AE9BC30F}"/>
    <cellStyle name="Percent" xfId="7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0" formatCode="&quot;$&quot;#,##0_);[Red]\(&quot;$&quot;#,##0\)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00000"/>
      <alignment horizontal="center" vertical="center" textRotation="0" wrapText="1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textRotation="0" indent="0" justifyLastLine="0" shrinkToFit="0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6" formatCode="_(&quot;$&quot;* #,##0_);_(&quot;$&quot;* \(#,##0\);_(&quot;$&quot;* &quot;-&quot;??_);_(@_)"/>
    </dxf>
    <dxf>
      <numFmt numFmtId="166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2A3E68"/>
      <color rgb="FFAC0002"/>
      <color rgb="FF7B9CC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  <a:r>
              <a:rPr lang="en-US" b="1" baseline="0"/>
              <a:t> &amp; Gross Margin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'Interview Questions'!$B$50</c:f>
              <c:strCache>
                <c:ptCount val="1"/>
                <c:pt idx="0">
                  <c:v>Products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'Interview Questions'!$C$48:$I$48</c:f>
              <c:numCache>
                <c:formatCode>General</c:formatCod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numCache>
            </c:numRef>
          </c:cat>
          <c:val>
            <c:numRef>
              <c:f>'Interview Questions'!$C$50:$I$50</c:f>
              <c:numCache>
                <c:formatCode>#,##0_);\(#,##0\)</c:formatCode>
                <c:ptCount val="7"/>
                <c:pt idx="0">
                  <c:v>226116.80000000002</c:v>
                </c:pt>
                <c:pt idx="1">
                  <c:v>264007.10000000003</c:v>
                </c:pt>
                <c:pt idx="2">
                  <c:v>288893.43450000015</c:v>
                </c:pt>
                <c:pt idx="3">
                  <c:v>300001.74687500007</c:v>
                </c:pt>
                <c:pt idx="4">
                  <c:v>337974.95395125018</c:v>
                </c:pt>
                <c:pt idx="5">
                  <c:v>313351.55227656278</c:v>
                </c:pt>
                <c:pt idx="6">
                  <c:v>341938.67091570655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F-4FC4-84A4-1050DD8CB126}"/>
            </c:ext>
          </c:extLst>
        </c:ser>
        <c:ser>
          <c:idx val="1"/>
          <c:order val="1"/>
          <c:tx>
            <c:strRef>
              <c:f>'Interview Questions'!$B$51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'Interview Questions'!$C$48:$I$48</c:f>
              <c:numCache>
                <c:formatCode>General</c:formatCode>
                <c:ptCount val="7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</c:numCache>
            </c:numRef>
          </c:cat>
          <c:val>
            <c:numRef>
              <c:f>'Interview Questions'!$C$51:$I$51</c:f>
              <c:numCache>
                <c:formatCode>#,##0_);\(#,##0\)</c:formatCode>
                <c:ptCount val="7"/>
                <c:pt idx="0">
                  <c:v>66860.999999999985</c:v>
                </c:pt>
                <c:pt idx="1">
                  <c:v>88649.819999999992</c:v>
                </c:pt>
                <c:pt idx="2">
                  <c:v>104027.84999999998</c:v>
                </c:pt>
                <c:pt idx="3">
                  <c:v>117239.38694999997</c:v>
                </c:pt>
                <c:pt idx="4">
                  <c:v>137576.83162499996</c:v>
                </c:pt>
                <c:pt idx="5">
                  <c:v>147138.42142293745</c:v>
                </c:pt>
                <c:pt idx="6">
                  <c:v>165570.2774398968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F-4FC4-84A4-1050DD8C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39167"/>
        <c:axId val="567849727"/>
      </c:barChart>
      <c:lineChart>
        <c:grouping val="standard"/>
        <c:varyColors val="0"/>
        <c:ser>
          <c:idx val="2"/>
          <c:order val="2"/>
          <c:tx>
            <c:strRef>
              <c:f>'Interview Questions'!$B$59</c:f>
              <c:strCache>
                <c:ptCount val="1"/>
                <c:pt idx="0">
                  <c:v>Gross Margin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'Interview Questions'!$C$59:$I$59</c:f>
              <c:numCache>
                <c:formatCode>0%</c:formatCode>
                <c:ptCount val="7"/>
                <c:pt idx="0">
                  <c:v>0.76543576339231167</c:v>
                </c:pt>
                <c:pt idx="1">
                  <c:v>0.78743115263412389</c:v>
                </c:pt>
                <c:pt idx="2">
                  <c:v>0.76529509874388091</c:v>
                </c:pt>
                <c:pt idx="3">
                  <c:v>0.73471115867994552</c:v>
                </c:pt>
                <c:pt idx="4">
                  <c:v>0.80817706937970579</c:v>
                </c:pt>
                <c:pt idx="5">
                  <c:v>0.76763319488400661</c:v>
                </c:pt>
                <c:pt idx="6">
                  <c:v>0.78716312301813463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F-4FC4-84A4-1050DD8CB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48287"/>
        <c:axId val="567850687"/>
      </c:lineChart>
      <c:catAx>
        <c:axId val="5678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9727"/>
        <c:crosses val="autoZero"/>
        <c:auto val="1"/>
        <c:lblAlgn val="ctr"/>
        <c:lblOffset val="100"/>
        <c:noMultiLvlLbl val="0"/>
      </c:catAx>
      <c:valAx>
        <c:axId val="567849727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9167"/>
        <c:crosses val="autoZero"/>
        <c:crossBetween val="between"/>
      </c:valAx>
      <c:valAx>
        <c:axId val="56785068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48287"/>
        <c:crosses val="max"/>
        <c:crossBetween val="between"/>
      </c:valAx>
      <c:catAx>
        <c:axId val="567848287"/>
        <c:scaling>
          <c:orientation val="minMax"/>
        </c:scaling>
        <c:delete val="1"/>
        <c:axPos val="b"/>
        <c:majorTickMark val="none"/>
        <c:minorTickMark val="none"/>
        <c:tickLblPos val="nextTo"/>
        <c:crossAx val="567850687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44</xdr:row>
      <xdr:rowOff>157162</xdr:rowOff>
    </xdr:from>
    <xdr:to>
      <xdr:col>14</xdr:col>
      <xdr:colOff>447675</xdr:colOff>
      <xdr:row>59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40BE8-826B-3E8D-2F12-2366C8153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di" refreshedDate="45105.463847916668" createdVersion="8" refreshedVersion="8" minRefreshableVersion="3" recordCount="26" xr:uid="{F899E845-3B0E-488E-B83B-A870E0D2AE9A}">
  <cacheSource type="worksheet">
    <worksheetSource name="Table13"/>
  </cacheSource>
  <cacheFields count="8">
    <cacheField name="Date" numFmtId="14">
      <sharedItems containsSemiMixedTypes="0" containsNonDate="0" containsDate="1" containsString="0" minDate="2020-01-18T00:00:00" maxDate="2021-12-24T00:00:00" count="26">
        <d v="2020-01-18T00:00:00"/>
        <d v="2020-02-09T00:00:00"/>
        <d v="2020-03-07T00:00:00"/>
        <d v="2020-04-03T00:00:00"/>
        <d v="2020-04-30T00:00:00"/>
        <d v="2020-05-27T00:00:00"/>
        <d v="2020-06-11T00:00:00"/>
        <d v="2020-06-26T00:00:00"/>
        <d v="2020-07-11T00:00:00"/>
        <d v="2020-07-26T00:00:00"/>
        <d v="2020-08-18T00:00:00"/>
        <d v="2020-09-10T00:00:00"/>
        <d v="2020-10-03T00:00:00"/>
        <d v="2020-10-26T00:00:00"/>
        <d v="2020-11-21T00:00:00"/>
        <d v="2020-12-17T00:00:00"/>
        <d v="2021-01-12T00:00:00"/>
        <d v="2021-02-07T00:00:00"/>
        <d v="2021-03-05T00:00:00"/>
        <d v="2021-04-11T00:00:00"/>
        <d v="2021-05-18T00:00:00"/>
        <d v="2021-06-24T00:00:00"/>
        <d v="2021-07-31T00:00:00"/>
        <d v="2021-09-06T00:00:00"/>
        <d v="2021-09-24T00:00:00"/>
        <d v="2021-12-23T00:00:00"/>
      </sharedItems>
      <fieldGroup par="7"/>
    </cacheField>
    <cacheField name="Order ID" numFmtId="0">
      <sharedItems containsSemiMixedTypes="0" containsString="0" containsNumber="1" containsInteger="1" minValue="1001" maxValue="1030"/>
    </cacheField>
    <cacheField name="First" numFmtId="0">
      <sharedItems/>
    </cacheField>
    <cacheField name="Last" numFmtId="0">
      <sharedItems/>
    </cacheField>
    <cacheField name="Purchase" numFmtId="6">
      <sharedItems containsSemiMixedTypes="0" containsString="0" containsNumber="1" containsInteger="1" minValue="540" maxValue="980"/>
    </cacheField>
    <cacheField name="Months (Date)" numFmtId="0" databaseField="0">
      <fieldGroup base="0">
        <rangePr groupBy="months" startDate="2020-01-18T00:00:00" endDate="2021-12-24T00:00:00"/>
        <groupItems count="14">
          <s v="&lt;1/18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4/2021"/>
        </groupItems>
      </fieldGroup>
    </cacheField>
    <cacheField name="Quarters (Date)" numFmtId="0" databaseField="0">
      <fieldGroup base="0">
        <rangePr groupBy="quarters" startDate="2020-01-18T00:00:00" endDate="2021-12-24T00:00:00"/>
        <groupItems count="6">
          <s v="&lt;1/18/2020"/>
          <s v="Qtr1"/>
          <s v="Qtr2"/>
          <s v="Qtr3"/>
          <s v="Qtr4"/>
          <s v="&gt;12/24/2021"/>
        </groupItems>
      </fieldGroup>
    </cacheField>
    <cacheField name="Years (Date)" numFmtId="0" databaseField="0">
      <fieldGroup base="0">
        <rangePr groupBy="years" startDate="2020-01-18T00:00:00" endDate="2021-12-24T00:00:00"/>
        <groupItems count="4">
          <s v="&lt;1/18/2020"/>
          <s v="2020"/>
          <s v="2021"/>
          <s v="&gt;12/24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001"/>
    <s v="Alice"/>
    <s v="Johnson"/>
    <n v="620"/>
  </r>
  <r>
    <x v="1"/>
    <n v="1002"/>
    <s v="Bob"/>
    <s v="Thompson"/>
    <n v="710"/>
  </r>
  <r>
    <x v="2"/>
    <n v="1003"/>
    <s v="Charlie"/>
    <s v="Davis"/>
    <n v="590"/>
  </r>
  <r>
    <x v="3"/>
    <n v="1004"/>
    <s v="David"/>
    <s v="Wilson"/>
    <n v="670"/>
  </r>
  <r>
    <x v="4"/>
    <n v="1005"/>
    <s v="Emma"/>
    <s v="Clark"/>
    <n v="780"/>
  </r>
  <r>
    <x v="5"/>
    <n v="1006"/>
    <s v="Finn"/>
    <s v="Lewis"/>
    <n v="920"/>
  </r>
  <r>
    <x v="6"/>
    <n v="1007"/>
    <s v="Grace"/>
    <s v="Martinez"/>
    <n v="860"/>
  </r>
  <r>
    <x v="7"/>
    <n v="1008"/>
    <s v="Henry"/>
    <s v="Roberts"/>
    <n v="810"/>
  </r>
  <r>
    <x v="8"/>
    <n v="1009"/>
    <s v="Isabella"/>
    <s v="Walker"/>
    <n v="950"/>
  </r>
  <r>
    <x v="9"/>
    <n v="1010"/>
    <s v="Jacob"/>
    <s v="Hall"/>
    <n v="790"/>
  </r>
  <r>
    <x v="10"/>
    <n v="1011"/>
    <s v="Kate"/>
    <s v="Adams"/>
    <n v="980"/>
  </r>
  <r>
    <x v="11"/>
    <n v="1012"/>
    <s v="Liam"/>
    <s v="Scott"/>
    <n v="610"/>
  </r>
  <r>
    <x v="12"/>
    <n v="1013"/>
    <s v="Mia"/>
    <s v="Turner"/>
    <n v="610"/>
  </r>
  <r>
    <x v="13"/>
    <n v="1014"/>
    <s v="Noah"/>
    <s v="Mitchell"/>
    <n v="700"/>
  </r>
  <r>
    <x v="14"/>
    <n v="1015"/>
    <s v="Olivia"/>
    <s v="King"/>
    <n v="840"/>
  </r>
  <r>
    <x v="15"/>
    <n v="1016"/>
    <s v="Peter"/>
    <s v="Baker"/>
    <n v="710"/>
  </r>
  <r>
    <x v="16"/>
    <n v="1017"/>
    <s v="Quinn"/>
    <s v="Phillips"/>
    <n v="960"/>
  </r>
  <r>
    <x v="17"/>
    <n v="1018"/>
    <s v="Ryan"/>
    <s v="Turner"/>
    <n v="920"/>
  </r>
  <r>
    <x v="18"/>
    <n v="1019"/>
    <s v="Sophia"/>
    <s v="Morris"/>
    <n v="750"/>
  </r>
  <r>
    <x v="19"/>
    <n v="1020"/>
    <s v="Thomas"/>
    <s v="Cooper"/>
    <n v="540"/>
  </r>
  <r>
    <x v="20"/>
    <n v="1021"/>
    <s v="Victoria"/>
    <s v="Rivera"/>
    <n v="720"/>
  </r>
  <r>
    <x v="21"/>
    <n v="1022"/>
    <s v="William"/>
    <s v="Wood"/>
    <n v="920"/>
  </r>
  <r>
    <x v="22"/>
    <n v="1023"/>
    <s v="Xavier"/>
    <s v="Reed"/>
    <n v="550"/>
  </r>
  <r>
    <x v="23"/>
    <n v="1024"/>
    <s v="Zoe"/>
    <s v="Collins"/>
    <n v="830"/>
  </r>
  <r>
    <x v="24"/>
    <n v="1025"/>
    <s v="Ethan"/>
    <s v="Perez"/>
    <n v="670"/>
  </r>
  <r>
    <x v="25"/>
    <n v="1030"/>
    <s v="Lily"/>
    <s v="Turner"/>
    <n v="8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30DB6-8EBF-4DEB-A288-83A7AD0428A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7:M78" firstHeaderRow="0" firstDataRow="1" firstDataCol="1"/>
  <pivotFields count="8">
    <pivotField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dataField="1" numFmtId="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6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uantity Sold" fld="4" subtotal="count" baseField="7" baseItem="1"/>
    <dataField name="Total Sales" fld="4" baseField="7" baseItem="1" numFmtId="166"/>
    <dataField name="Average Sale Price" fld="4" subtotal="average" baseField="7" baseItem="1" numFmtId="166"/>
  </dataFields>
  <formats count="5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4">
      <pivotArea dataOnly="0" grandRow="1" axis="axisRow" fieldPosition="0"/>
    </format>
    <format dxfId="13">
      <pivotArea field="7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2E1B29-36CB-44AE-A9CA-59BAB5D4E467}" name="Table13" displayName="Table13" ref="B67:F93" totalsRowShown="0" headerRowDxfId="11" dataDxfId="10">
  <autoFilter ref="B67:F93" xr:uid="{C52E1B29-36CB-44AE-A9CA-59BAB5D4E467}"/>
  <tableColumns count="5">
    <tableColumn id="1" xr3:uid="{72DC09B4-50F2-4000-AFD9-B85DB0D193C6}" name="Date" dataDxfId="9"/>
    <tableColumn id="2" xr3:uid="{872B76BB-CEA0-472C-9622-42B4C64B1B0B}" name="Order ID" dataDxfId="8"/>
    <tableColumn id="3" xr3:uid="{62059990-A8AE-49C8-B807-CE2A06D16AC2}" name="First" dataDxfId="7"/>
    <tableColumn id="4" xr3:uid="{B513BD2E-86FD-453E-BA55-27B44B72CCC8}" name="Last" dataDxfId="6"/>
    <tableColumn id="5" xr3:uid="{6E0FA5F8-547D-4D0A-BA71-52E692F8E713}" name="Purchase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james@gmail.com" TargetMode="External"/><Relationship Id="rId13" Type="http://schemas.openxmlformats.org/officeDocument/2006/relationships/hyperlink" Target="mailto:mronaldo@gmail.com" TargetMode="External"/><Relationship Id="rId3" Type="http://schemas.openxmlformats.org/officeDocument/2006/relationships/hyperlink" Target="mailto:hsimp@gmail.com" TargetMode="External"/><Relationship Id="rId7" Type="http://schemas.openxmlformats.org/officeDocument/2006/relationships/hyperlink" Target="mailto:cbuffett@gmail.com" TargetMode="External"/><Relationship Id="rId12" Type="http://schemas.openxmlformats.org/officeDocument/2006/relationships/hyperlink" Target="mailto:bbuilder@gmail.com" TargetMode="External"/><Relationship Id="rId2" Type="http://schemas.openxmlformats.org/officeDocument/2006/relationships/hyperlink" Target="mailto:sbob@gmail.com" TargetMode="External"/><Relationship Id="rId1" Type="http://schemas.openxmlformats.org/officeDocument/2006/relationships/hyperlink" Target="mailto:sward@gmail.com" TargetMode="External"/><Relationship Id="rId6" Type="http://schemas.openxmlformats.org/officeDocument/2006/relationships/hyperlink" Target="mailto:wmunger@gmail.com" TargetMode="External"/><Relationship Id="rId11" Type="http://schemas.openxmlformats.org/officeDocument/2006/relationships/hyperlink" Target="mailto:pbrady@gmail.com" TargetMode="External"/><Relationship Id="rId5" Type="http://schemas.openxmlformats.org/officeDocument/2006/relationships/hyperlink" Target="mailto:smusk@gmail.com" TargetMode="External"/><Relationship Id="rId15" Type="http://schemas.openxmlformats.org/officeDocument/2006/relationships/hyperlink" Target="mailto:rfederer@gmail.com" TargetMode="External"/><Relationship Id="rId10" Type="http://schemas.openxmlformats.org/officeDocument/2006/relationships/hyperlink" Target="mailto:tmanning@gmail.com" TargetMode="External"/><Relationship Id="rId4" Type="http://schemas.openxmlformats.org/officeDocument/2006/relationships/hyperlink" Target="mailto:ejobs@gmail.com" TargetMode="External"/><Relationship Id="rId9" Type="http://schemas.openxmlformats.org/officeDocument/2006/relationships/hyperlink" Target="mailto:jbryant@gmail.com" TargetMode="External"/><Relationship Id="rId14" Type="http://schemas.openxmlformats.org/officeDocument/2006/relationships/hyperlink" Target="mailto:rnad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B00A-4B08-40B0-8539-8009C23718B4}">
  <dimension ref="B2:U219"/>
  <sheetViews>
    <sheetView showGridLines="0" tabSelected="1" topLeftCell="A190" zoomScaleNormal="100" workbookViewId="0">
      <selection activeCell="J221" sqref="J221"/>
    </sheetView>
  </sheetViews>
  <sheetFormatPr defaultColWidth="8.85546875" defaultRowHeight="15" x14ac:dyDescent="0.25"/>
  <cols>
    <col min="2" max="2" width="40.28515625" bestFit="1" customWidth="1"/>
    <col min="3" max="3" width="12.5703125" customWidth="1"/>
    <col min="4" max="4" width="27" bestFit="1" customWidth="1"/>
    <col min="5" max="5" width="20.28515625" customWidth="1"/>
    <col min="6" max="6" width="28.140625" bestFit="1" customWidth="1"/>
    <col min="7" max="7" width="14" customWidth="1"/>
    <col min="9" max="9" width="9.85546875" bestFit="1" customWidth="1"/>
    <col min="10" max="11" width="13.140625" bestFit="1" customWidth="1"/>
    <col min="12" max="12" width="11.5703125" bestFit="1" customWidth="1"/>
    <col min="13" max="13" width="17.5703125" bestFit="1" customWidth="1"/>
    <col min="14" max="14" width="15.140625" customWidth="1"/>
    <col min="15" max="15" width="16.5703125" customWidth="1"/>
  </cols>
  <sheetData>
    <row r="2" spans="2:19" ht="15.75" x14ac:dyDescent="0.25">
      <c r="B2" s="81" t="s">
        <v>102</v>
      </c>
      <c r="C2" s="81"/>
      <c r="D2" s="81"/>
      <c r="E2" s="81"/>
      <c r="F2" s="81"/>
      <c r="G2" s="81"/>
      <c r="H2" s="81"/>
      <c r="I2" s="81"/>
      <c r="K2" s="81" t="s">
        <v>106</v>
      </c>
      <c r="L2" s="81"/>
      <c r="M2" s="81"/>
      <c r="N2" s="81"/>
      <c r="O2" s="81"/>
      <c r="P2" s="72"/>
      <c r="Q2" s="72"/>
      <c r="R2" s="72"/>
      <c r="S2" s="72"/>
    </row>
    <row r="3" spans="2:19" x14ac:dyDescent="0.25">
      <c r="B3" t="s">
        <v>103</v>
      </c>
      <c r="K3" t="s">
        <v>107</v>
      </c>
    </row>
    <row r="5" spans="2:19" x14ac:dyDescent="0.25">
      <c r="B5" s="22" t="s">
        <v>84</v>
      </c>
      <c r="C5" s="22" t="s">
        <v>77</v>
      </c>
      <c r="E5" s="83" t="s">
        <v>104</v>
      </c>
      <c r="F5" s="83"/>
      <c r="K5" s="31" t="s">
        <v>86</v>
      </c>
      <c r="L5" s="31"/>
    </row>
    <row r="6" spans="2:19" x14ac:dyDescent="0.25">
      <c r="B6" s="19" t="s">
        <v>89</v>
      </c>
      <c r="C6" s="19" t="s">
        <v>78</v>
      </c>
      <c r="E6" s="9" t="s">
        <v>85</v>
      </c>
      <c r="F6" s="19" t="s">
        <v>91</v>
      </c>
      <c r="K6" t="s">
        <v>108</v>
      </c>
      <c r="L6">
        <v>24.99</v>
      </c>
    </row>
    <row r="7" spans="2:19" x14ac:dyDescent="0.25">
      <c r="B7" s="19" t="s">
        <v>90</v>
      </c>
      <c r="C7" s="19" t="s">
        <v>79</v>
      </c>
      <c r="E7" s="9" t="s">
        <v>0</v>
      </c>
      <c r="F7" s="51" t="str">
        <f>VLOOKUP("Sophia Martinez", B5:C18, 2, FALSE)</f>
        <v>Austin</v>
      </c>
      <c r="K7" t="s">
        <v>63</v>
      </c>
      <c r="L7" s="16">
        <v>7.0000000000000007E-2</v>
      </c>
      <c r="N7" s="43" t="s">
        <v>315</v>
      </c>
    </row>
    <row r="8" spans="2:19" x14ac:dyDescent="0.25">
      <c r="B8" s="19" t="s">
        <v>91</v>
      </c>
      <c r="C8" s="19" t="s">
        <v>18</v>
      </c>
      <c r="K8" t="s">
        <v>109</v>
      </c>
      <c r="L8" s="17">
        <v>12</v>
      </c>
    </row>
    <row r="9" spans="2:19" x14ac:dyDescent="0.25">
      <c r="B9" s="19" t="s">
        <v>92</v>
      </c>
      <c r="C9" s="19" t="s">
        <v>18</v>
      </c>
      <c r="E9" s="83" t="s">
        <v>105</v>
      </c>
      <c r="F9" s="83"/>
    </row>
    <row r="10" spans="2:19" x14ac:dyDescent="0.25">
      <c r="B10" s="19" t="s">
        <v>93</v>
      </c>
      <c r="C10" s="19" t="s">
        <v>80</v>
      </c>
      <c r="E10" s="9" t="s">
        <v>85</v>
      </c>
      <c r="F10" s="19" t="s">
        <v>91</v>
      </c>
      <c r="K10" s="31" t="s">
        <v>64</v>
      </c>
      <c r="L10" s="31"/>
    </row>
    <row r="11" spans="2:19" x14ac:dyDescent="0.25">
      <c r="B11" s="19" t="s">
        <v>94</v>
      </c>
      <c r="C11" s="19" t="s">
        <v>80</v>
      </c>
      <c r="E11" s="9" t="s">
        <v>0</v>
      </c>
      <c r="F11" s="51" t="str">
        <f>INDEX(C5:C18, MATCH(F10, B5:B18, 0))</f>
        <v>Austin</v>
      </c>
      <c r="K11" t="s">
        <v>110</v>
      </c>
      <c r="L11" s="56">
        <v>1779.248623306376</v>
      </c>
    </row>
    <row r="12" spans="2:19" x14ac:dyDescent="0.25">
      <c r="B12" s="19" t="s">
        <v>95</v>
      </c>
      <c r="C12" s="19" t="s">
        <v>80</v>
      </c>
      <c r="K12" t="s">
        <v>76</v>
      </c>
      <c r="L12" s="18">
        <f>L11*L6</f>
        <v>44463.423096426333</v>
      </c>
    </row>
    <row r="13" spans="2:19" x14ac:dyDescent="0.25">
      <c r="B13" s="19" t="s">
        <v>96</v>
      </c>
      <c r="C13" s="19" t="s">
        <v>81</v>
      </c>
      <c r="K13" t="s">
        <v>63</v>
      </c>
      <c r="L13" s="18">
        <f>-L12*L7</f>
        <v>-3112.4396167498435</v>
      </c>
    </row>
    <row r="14" spans="2:19" x14ac:dyDescent="0.25">
      <c r="B14" s="19" t="s">
        <v>97</v>
      </c>
      <c r="C14" s="19" t="s">
        <v>82</v>
      </c>
      <c r="K14" t="s">
        <v>111</v>
      </c>
      <c r="L14" s="18">
        <f>-L11*L8</f>
        <v>-21350.983479676514</v>
      </c>
    </row>
    <row r="15" spans="2:19" x14ac:dyDescent="0.25">
      <c r="B15" s="19" t="s">
        <v>98</v>
      </c>
      <c r="C15" s="19" t="s">
        <v>43</v>
      </c>
      <c r="K15" s="53" t="s">
        <v>75</v>
      </c>
      <c r="L15" s="55">
        <f>SUM(L12:L14)</f>
        <v>19999.999999999978</v>
      </c>
    </row>
    <row r="16" spans="2:19" x14ac:dyDescent="0.25">
      <c r="B16" s="19" t="s">
        <v>99</v>
      </c>
      <c r="C16" s="19" t="s">
        <v>43</v>
      </c>
    </row>
    <row r="17" spans="2:15" x14ac:dyDescent="0.25">
      <c r="B17" s="19" t="s">
        <v>100</v>
      </c>
      <c r="C17" s="19" t="s">
        <v>83</v>
      </c>
    </row>
    <row r="18" spans="2:15" x14ac:dyDescent="0.25">
      <c r="B18" s="19" t="s">
        <v>101</v>
      </c>
      <c r="C18" s="19" t="s">
        <v>83</v>
      </c>
    </row>
    <row r="22" spans="2:15" ht="15.75" x14ac:dyDescent="0.25">
      <c r="B22" s="81" t="s">
        <v>112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 x14ac:dyDescent="0.25">
      <c r="B23" t="s">
        <v>113</v>
      </c>
    </row>
    <row r="24" spans="2:15" ht="15.75" thickBot="1" x14ac:dyDescent="0.3">
      <c r="I24" s="85" t="s">
        <v>114</v>
      </c>
      <c r="J24" s="85"/>
      <c r="K24" s="85"/>
      <c r="L24" s="85"/>
      <c r="M24" s="85"/>
      <c r="N24" s="85"/>
      <c r="O24" s="85"/>
    </row>
    <row r="25" spans="2:15" ht="15.75" thickTop="1" x14ac:dyDescent="0.25">
      <c r="B25" s="84" t="s">
        <v>2</v>
      </c>
      <c r="C25" s="84"/>
      <c r="D25" s="10"/>
      <c r="I25" s="24" t="s">
        <v>130</v>
      </c>
      <c r="J25" s="21" t="s">
        <v>131</v>
      </c>
      <c r="K25" s="21" t="s">
        <v>132</v>
      </c>
      <c r="L25" s="21" t="s">
        <v>133</v>
      </c>
      <c r="M25" s="21" t="s">
        <v>134</v>
      </c>
      <c r="N25" s="21" t="s">
        <v>135</v>
      </c>
      <c r="O25" s="21" t="s">
        <v>136</v>
      </c>
    </row>
    <row r="26" spans="2:15" x14ac:dyDescent="0.25">
      <c r="B26" s="23" t="s">
        <v>115</v>
      </c>
      <c r="I26" s="25">
        <v>1</v>
      </c>
      <c r="J26" s="20" t="s">
        <v>137</v>
      </c>
      <c r="K26" s="20" t="s">
        <v>138</v>
      </c>
      <c r="L26" s="20">
        <v>2001</v>
      </c>
      <c r="M26" s="20" t="s">
        <v>139</v>
      </c>
      <c r="N26" s="20" t="s">
        <v>140</v>
      </c>
      <c r="O26" s="20">
        <v>315.5</v>
      </c>
    </row>
    <row r="27" spans="2:15" x14ac:dyDescent="0.25">
      <c r="B27" s="23" t="s">
        <v>116</v>
      </c>
      <c r="I27" s="25">
        <v>2</v>
      </c>
      <c r="J27" s="20" t="s">
        <v>141</v>
      </c>
      <c r="K27" s="20" t="s">
        <v>142</v>
      </c>
      <c r="L27" s="20">
        <v>2002</v>
      </c>
      <c r="M27" s="20" t="s">
        <v>139</v>
      </c>
      <c r="N27" s="20" t="s">
        <v>140</v>
      </c>
      <c r="O27" s="20">
        <v>275.75</v>
      </c>
    </row>
    <row r="28" spans="2:15" x14ac:dyDescent="0.25">
      <c r="B28" s="23" t="s">
        <v>117</v>
      </c>
      <c r="I28" s="25">
        <v>3</v>
      </c>
      <c r="J28" s="20" t="s">
        <v>143</v>
      </c>
      <c r="K28" s="20" t="s">
        <v>144</v>
      </c>
      <c r="L28" s="20">
        <v>2003</v>
      </c>
      <c r="M28" s="20" t="s">
        <v>18</v>
      </c>
      <c r="N28" s="20" t="s">
        <v>145</v>
      </c>
      <c r="O28" s="20">
        <v>290.25</v>
      </c>
    </row>
    <row r="29" spans="2:15" x14ac:dyDescent="0.25">
      <c r="B29" s="23" t="s">
        <v>118</v>
      </c>
      <c r="I29" s="25">
        <v>4</v>
      </c>
      <c r="J29" s="20" t="s">
        <v>146</v>
      </c>
      <c r="K29" s="20" t="s">
        <v>147</v>
      </c>
      <c r="L29" s="20">
        <v>2004</v>
      </c>
      <c r="M29" s="20" t="s">
        <v>18</v>
      </c>
      <c r="N29" s="20" t="s">
        <v>145</v>
      </c>
      <c r="O29" s="20">
        <v>275.75</v>
      </c>
    </row>
    <row r="30" spans="2:15" x14ac:dyDescent="0.25">
      <c r="B30" s="23" t="s">
        <v>119</v>
      </c>
      <c r="I30" s="25">
        <v>5</v>
      </c>
      <c r="J30" s="20" t="s">
        <v>148</v>
      </c>
      <c r="K30" s="20" t="s">
        <v>149</v>
      </c>
      <c r="L30" s="20">
        <v>2005</v>
      </c>
      <c r="M30" s="20" t="s">
        <v>18</v>
      </c>
      <c r="N30" s="20" t="s">
        <v>145</v>
      </c>
      <c r="O30" s="20">
        <v>290.25</v>
      </c>
    </row>
    <row r="31" spans="2:15" x14ac:dyDescent="0.25">
      <c r="B31" s="23" t="s">
        <v>120</v>
      </c>
      <c r="F31" s="43" t="s">
        <v>165</v>
      </c>
      <c r="I31" s="25">
        <v>6</v>
      </c>
      <c r="J31" s="20" t="s">
        <v>150</v>
      </c>
      <c r="K31" s="20" t="s">
        <v>151</v>
      </c>
      <c r="L31" s="20">
        <v>2006</v>
      </c>
      <c r="M31" s="20" t="s">
        <v>43</v>
      </c>
      <c r="N31" s="20" t="s">
        <v>152</v>
      </c>
      <c r="O31" s="20">
        <v>300.75</v>
      </c>
    </row>
    <row r="32" spans="2:15" x14ac:dyDescent="0.25">
      <c r="B32" s="23" t="s">
        <v>121</v>
      </c>
      <c r="I32" s="25">
        <v>7</v>
      </c>
      <c r="J32" s="20" t="s">
        <v>153</v>
      </c>
      <c r="K32" s="20" t="s">
        <v>154</v>
      </c>
      <c r="L32" s="20">
        <v>2007</v>
      </c>
      <c r="M32" s="20" t="s">
        <v>43</v>
      </c>
      <c r="N32" s="20" t="s">
        <v>152</v>
      </c>
      <c r="O32" s="20">
        <v>330.25</v>
      </c>
    </row>
    <row r="33" spans="2:15" x14ac:dyDescent="0.25">
      <c r="B33" s="23" t="s">
        <v>122</v>
      </c>
      <c r="I33" s="25">
        <v>8</v>
      </c>
      <c r="J33" s="20" t="s">
        <v>155</v>
      </c>
      <c r="K33" s="20" t="s">
        <v>156</v>
      </c>
      <c r="L33" s="20">
        <v>2008</v>
      </c>
      <c r="M33" s="20" t="s">
        <v>43</v>
      </c>
      <c r="N33" s="20" t="s">
        <v>152</v>
      </c>
      <c r="O33" s="20">
        <v>323.5</v>
      </c>
    </row>
    <row r="34" spans="2:15" x14ac:dyDescent="0.25">
      <c r="B34" s="23" t="s">
        <v>123</v>
      </c>
      <c r="I34" s="25">
        <v>9</v>
      </c>
      <c r="J34" s="20" t="s">
        <v>157</v>
      </c>
      <c r="K34" s="20" t="s">
        <v>54</v>
      </c>
      <c r="L34" s="20">
        <v>2009</v>
      </c>
      <c r="M34" s="20" t="s">
        <v>158</v>
      </c>
      <c r="N34" s="20" t="s">
        <v>159</v>
      </c>
      <c r="O34" s="20">
        <v>310.5</v>
      </c>
    </row>
    <row r="35" spans="2:15" x14ac:dyDescent="0.25">
      <c r="B35" s="23" t="s">
        <v>124</v>
      </c>
      <c r="I35" s="25">
        <v>10</v>
      </c>
      <c r="J35" s="20" t="s">
        <v>160</v>
      </c>
      <c r="K35" s="20" t="s">
        <v>55</v>
      </c>
      <c r="L35" s="20">
        <v>2010</v>
      </c>
      <c r="M35" s="20" t="s">
        <v>158</v>
      </c>
      <c r="N35" s="20" t="s">
        <v>159</v>
      </c>
      <c r="O35" s="20">
        <v>265.75</v>
      </c>
    </row>
    <row r="36" spans="2:15" x14ac:dyDescent="0.25">
      <c r="B36" s="23" t="s">
        <v>125</v>
      </c>
      <c r="I36" s="25">
        <v>11</v>
      </c>
      <c r="J36" s="20" t="s">
        <v>53</v>
      </c>
      <c r="K36" s="20" t="s">
        <v>56</v>
      </c>
      <c r="L36" s="20">
        <v>2011</v>
      </c>
      <c r="M36" s="20" t="s">
        <v>158</v>
      </c>
      <c r="N36" s="20" t="s">
        <v>159</v>
      </c>
      <c r="O36" s="20">
        <v>245.5</v>
      </c>
    </row>
    <row r="37" spans="2:15" x14ac:dyDescent="0.25">
      <c r="B37" s="23" t="s">
        <v>126</v>
      </c>
      <c r="I37" s="25">
        <v>12</v>
      </c>
      <c r="J37" s="20" t="s">
        <v>161</v>
      </c>
      <c r="K37" s="20" t="s">
        <v>162</v>
      </c>
      <c r="L37" s="20">
        <v>2012</v>
      </c>
      <c r="M37" s="20" t="s">
        <v>163</v>
      </c>
      <c r="N37" s="20" t="s">
        <v>164</v>
      </c>
      <c r="O37" s="20">
        <v>335.75</v>
      </c>
    </row>
    <row r="38" spans="2:15" x14ac:dyDescent="0.25">
      <c r="B38" s="23" t="s">
        <v>127</v>
      </c>
      <c r="I38" s="25">
        <v>13</v>
      </c>
      <c r="J38" s="20" t="s">
        <v>50</v>
      </c>
      <c r="K38" s="20" t="s">
        <v>52</v>
      </c>
      <c r="L38" s="20">
        <v>2013</v>
      </c>
      <c r="M38" s="20" t="s">
        <v>163</v>
      </c>
      <c r="N38" s="20" t="s">
        <v>164</v>
      </c>
      <c r="O38" s="20">
        <v>328.25</v>
      </c>
    </row>
    <row r="39" spans="2:15" x14ac:dyDescent="0.25">
      <c r="B39" s="23" t="s">
        <v>128</v>
      </c>
      <c r="I39" s="25">
        <v>14</v>
      </c>
      <c r="J39" s="20" t="s">
        <v>57</v>
      </c>
      <c r="K39" s="20" t="s">
        <v>60</v>
      </c>
      <c r="L39" s="20">
        <v>2014</v>
      </c>
      <c r="M39" s="20" t="s">
        <v>163</v>
      </c>
      <c r="N39" s="20" t="s">
        <v>164</v>
      </c>
      <c r="O39" s="20">
        <v>300.75</v>
      </c>
    </row>
    <row r="40" spans="2:15" x14ac:dyDescent="0.25">
      <c r="B40" s="23" t="s">
        <v>129</v>
      </c>
      <c r="I40" s="20">
        <v>15</v>
      </c>
      <c r="J40" s="20" t="s">
        <v>59</v>
      </c>
      <c r="K40" s="20" t="s">
        <v>58</v>
      </c>
      <c r="L40" s="20">
        <v>2015</v>
      </c>
      <c r="M40" s="20" t="s">
        <v>163</v>
      </c>
      <c r="N40" s="20" t="s">
        <v>164</v>
      </c>
      <c r="O40" s="20">
        <v>245.5</v>
      </c>
    </row>
    <row r="44" spans="2:15" ht="15.75" x14ac:dyDescent="0.25">
      <c r="B44" s="81" t="s">
        <v>166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 x14ac:dyDescent="0.25">
      <c r="B45" t="s">
        <v>167</v>
      </c>
    </row>
    <row r="47" spans="2:15" ht="15.75" thickBot="1" x14ac:dyDescent="0.3">
      <c r="B47" s="77" t="s">
        <v>71</v>
      </c>
      <c r="C47" s="77"/>
      <c r="D47" s="77"/>
      <c r="E47" s="77"/>
      <c r="F47" s="77"/>
      <c r="G47" s="77"/>
      <c r="H47" s="77"/>
      <c r="I47" s="77"/>
    </row>
    <row r="48" spans="2:15" ht="15.75" thickTop="1" x14ac:dyDescent="0.25">
      <c r="B48" s="67"/>
      <c r="C48" s="67">
        <v>2022</v>
      </c>
      <c r="D48" s="67">
        <v>2023</v>
      </c>
      <c r="E48" s="67">
        <v>2024</v>
      </c>
      <c r="F48" s="67">
        <v>2025</v>
      </c>
      <c r="G48" s="67">
        <v>2026</v>
      </c>
      <c r="H48" s="67">
        <v>2027</v>
      </c>
      <c r="I48" s="67">
        <v>2028</v>
      </c>
    </row>
    <row r="49" spans="2:11" x14ac:dyDescent="0.25">
      <c r="B49" t="s">
        <v>65</v>
      </c>
    </row>
    <row r="50" spans="2:11" x14ac:dyDescent="0.25">
      <c r="B50" s="4" t="s">
        <v>87</v>
      </c>
      <c r="C50" s="6">
        <v>226116.80000000002</v>
      </c>
      <c r="D50" s="6">
        <v>264007.10000000003</v>
      </c>
      <c r="E50" s="6">
        <v>288893.43450000015</v>
      </c>
      <c r="F50" s="6">
        <v>300001.74687500007</v>
      </c>
      <c r="G50" s="6">
        <v>337974.95395125018</v>
      </c>
      <c r="H50" s="6">
        <v>313351.55227656278</v>
      </c>
      <c r="I50" s="6">
        <v>341938.67091570655</v>
      </c>
    </row>
    <row r="51" spans="2:11" x14ac:dyDescent="0.25">
      <c r="B51" s="4" t="s">
        <v>88</v>
      </c>
      <c r="C51" s="6">
        <v>66860.999999999985</v>
      </c>
      <c r="D51" s="6">
        <v>88649.819999999992</v>
      </c>
      <c r="E51" s="6">
        <v>104027.84999999998</v>
      </c>
      <c r="F51" s="6">
        <v>117239.38694999997</v>
      </c>
      <c r="G51" s="6">
        <v>137576.83162499996</v>
      </c>
      <c r="H51" s="6">
        <v>147138.42142293745</v>
      </c>
      <c r="I51" s="6">
        <v>165570.2774398968</v>
      </c>
    </row>
    <row r="52" spans="2:11" x14ac:dyDescent="0.25">
      <c r="B52" s="5" t="s">
        <v>66</v>
      </c>
      <c r="C52" s="7">
        <f>SUM(C50:C51)</f>
        <v>292977.8</v>
      </c>
      <c r="D52" s="7">
        <f t="shared" ref="D52:I52" si="0">SUM(D50:D51)</f>
        <v>352656.92000000004</v>
      </c>
      <c r="E52" s="7">
        <f t="shared" si="0"/>
        <v>392921.28450000013</v>
      </c>
      <c r="F52" s="7">
        <f t="shared" si="0"/>
        <v>417241.13382500003</v>
      </c>
      <c r="G52" s="7">
        <f t="shared" si="0"/>
        <v>475551.78557625017</v>
      </c>
      <c r="H52" s="7">
        <f t="shared" si="0"/>
        <v>460489.9736995002</v>
      </c>
      <c r="I52" s="7">
        <f t="shared" si="0"/>
        <v>507508.94835560338</v>
      </c>
    </row>
    <row r="53" spans="2:11" x14ac:dyDescent="0.25">
      <c r="B53" t="s">
        <v>67</v>
      </c>
    </row>
    <row r="54" spans="2:11" x14ac:dyDescent="0.25">
      <c r="B54" s="4" t="s">
        <v>87</v>
      </c>
      <c r="C54" s="6">
        <v>52006.864000000009</v>
      </c>
      <c r="D54" s="6">
        <v>52801.420000000013</v>
      </c>
      <c r="E54" s="6">
        <v>69334.424280000036</v>
      </c>
      <c r="F54" s="6">
        <v>72000.419250000021</v>
      </c>
      <c r="G54" s="6">
        <v>54075.992632200032</v>
      </c>
      <c r="H54" s="6">
        <v>65803.825978078181</v>
      </c>
      <c r="I54" s="6">
        <v>64968.347473984242</v>
      </c>
    </row>
    <row r="55" spans="2:11" x14ac:dyDescent="0.25">
      <c r="B55" s="4" t="s">
        <v>88</v>
      </c>
      <c r="C55" s="6">
        <v>16715.249999999996</v>
      </c>
      <c r="D55" s="6">
        <v>22162.454999999998</v>
      </c>
      <c r="E55" s="6">
        <v>22886.126999999997</v>
      </c>
      <c r="F55" s="6">
        <v>38688.997693499994</v>
      </c>
      <c r="G55" s="6">
        <v>37145.74453874999</v>
      </c>
      <c r="H55" s="6">
        <v>41198.757998422487</v>
      </c>
      <c r="I55" s="6">
        <v>43048.272134373168</v>
      </c>
    </row>
    <row r="56" spans="2:11" x14ac:dyDescent="0.25">
      <c r="B56" s="11" t="s">
        <v>68</v>
      </c>
      <c r="C56" s="12">
        <f>SUM(C54:C55)</f>
        <v>68722.114000000001</v>
      </c>
      <c r="D56" s="12">
        <f t="shared" ref="D56:I56" si="1">SUM(D54:D55)</f>
        <v>74963.875000000015</v>
      </c>
      <c r="E56" s="12">
        <f t="shared" si="1"/>
        <v>92220.551280000029</v>
      </c>
      <c r="F56" s="12">
        <f t="shared" si="1"/>
        <v>110689.41694350002</v>
      </c>
      <c r="G56" s="12">
        <f t="shared" si="1"/>
        <v>91221.737170950015</v>
      </c>
      <c r="H56" s="12">
        <f t="shared" si="1"/>
        <v>107002.58397650067</v>
      </c>
      <c r="I56" s="12">
        <f t="shared" si="1"/>
        <v>108016.6196083574</v>
      </c>
    </row>
    <row r="57" spans="2:11" x14ac:dyDescent="0.25">
      <c r="B57" s="53" t="s">
        <v>69</v>
      </c>
      <c r="C57" s="54">
        <f>C52-C56</f>
        <v>224255.68599999999</v>
      </c>
      <c r="D57" s="54">
        <f t="shared" ref="D57:I57" si="2">D52-D56</f>
        <v>277693.04500000004</v>
      </c>
      <c r="E57" s="54">
        <f t="shared" si="2"/>
        <v>300700.73322000011</v>
      </c>
      <c r="F57" s="54">
        <f t="shared" si="2"/>
        <v>306551.71688149997</v>
      </c>
      <c r="G57" s="54">
        <f t="shared" si="2"/>
        <v>384330.04840530013</v>
      </c>
      <c r="H57" s="54">
        <f t="shared" si="2"/>
        <v>353487.38972299953</v>
      </c>
      <c r="I57" s="54">
        <f t="shared" si="2"/>
        <v>399492.32874724595</v>
      </c>
    </row>
    <row r="59" spans="2:11" x14ac:dyDescent="0.25">
      <c r="B59" s="13" t="s">
        <v>70</v>
      </c>
      <c r="C59" s="14">
        <f>C57/C52</f>
        <v>0.76543576339231167</v>
      </c>
      <c r="D59" s="14">
        <f t="shared" ref="D59:I59" si="3">D57/D52</f>
        <v>0.78743115263412389</v>
      </c>
      <c r="E59" s="14">
        <f t="shared" si="3"/>
        <v>0.76529509874388091</v>
      </c>
      <c r="F59" s="14">
        <f t="shared" si="3"/>
        <v>0.73471115867994552</v>
      </c>
      <c r="G59" s="14">
        <f t="shared" si="3"/>
        <v>0.80817706937970579</v>
      </c>
      <c r="H59" s="14">
        <f t="shared" si="3"/>
        <v>0.76763319488400661</v>
      </c>
      <c r="I59" s="14">
        <f t="shared" si="3"/>
        <v>0.78716312301813463</v>
      </c>
    </row>
    <row r="62" spans="2:11" x14ac:dyDescent="0.25">
      <c r="K62" s="43" t="s">
        <v>226</v>
      </c>
    </row>
    <row r="64" spans="2:11" ht="15.75" x14ac:dyDescent="0.25">
      <c r="B64" s="81" t="s">
        <v>228</v>
      </c>
      <c r="C64" s="81"/>
      <c r="D64" s="81"/>
      <c r="E64" s="81"/>
      <c r="F64" s="81"/>
      <c r="G64" s="81"/>
      <c r="H64" s="81"/>
      <c r="I64" s="81"/>
    </row>
    <row r="65" spans="2:15" x14ac:dyDescent="0.25">
      <c r="B65" t="s">
        <v>168</v>
      </c>
    </row>
    <row r="67" spans="2:15" x14ac:dyDescent="0.25">
      <c r="B67" s="47" t="s">
        <v>72</v>
      </c>
      <c r="C67" s="47" t="s">
        <v>73</v>
      </c>
      <c r="D67" s="47" t="s">
        <v>61</v>
      </c>
      <c r="E67" s="47" t="s">
        <v>62</v>
      </c>
      <c r="F67" s="47" t="s">
        <v>48</v>
      </c>
      <c r="J67" s="51" t="s">
        <v>214</v>
      </c>
      <c r="K67" s="51" t="s">
        <v>222</v>
      </c>
      <c r="L67" s="51" t="s">
        <v>223</v>
      </c>
      <c r="M67" s="51" t="s">
        <v>224</v>
      </c>
    </row>
    <row r="68" spans="2:15" x14ac:dyDescent="0.25">
      <c r="B68" s="15">
        <v>43848</v>
      </c>
      <c r="C68" s="28">
        <v>1001</v>
      </c>
      <c r="D68" s="28" t="s">
        <v>169</v>
      </c>
      <c r="E68" s="28" t="s">
        <v>170</v>
      </c>
      <c r="F68" s="29">
        <v>620</v>
      </c>
      <c r="H68" s="26"/>
      <c r="I68" s="19"/>
      <c r="J68" s="8" t="s">
        <v>216</v>
      </c>
      <c r="K68">
        <v>16</v>
      </c>
      <c r="L68" s="30">
        <v>12150</v>
      </c>
      <c r="M68" s="30">
        <v>759.375</v>
      </c>
      <c r="O68" s="43" t="s">
        <v>225</v>
      </c>
    </row>
    <row r="69" spans="2:15" x14ac:dyDescent="0.25">
      <c r="B69" s="15">
        <v>43870</v>
      </c>
      <c r="C69" s="28">
        <v>1002</v>
      </c>
      <c r="D69" s="28" t="s">
        <v>49</v>
      </c>
      <c r="E69" s="28" t="s">
        <v>171</v>
      </c>
      <c r="F69" s="29">
        <v>710</v>
      </c>
      <c r="H69" s="26"/>
      <c r="I69" s="19"/>
      <c r="J69" s="4" t="s">
        <v>217</v>
      </c>
      <c r="K69">
        <v>3</v>
      </c>
      <c r="L69" s="30">
        <v>1920</v>
      </c>
      <c r="M69" s="30">
        <v>640</v>
      </c>
    </row>
    <row r="70" spans="2:15" x14ac:dyDescent="0.25">
      <c r="B70" s="15">
        <v>43897</v>
      </c>
      <c r="C70" s="28">
        <v>1003</v>
      </c>
      <c r="D70" s="28" t="s">
        <v>51</v>
      </c>
      <c r="E70" s="28" t="s">
        <v>172</v>
      </c>
      <c r="F70" s="29">
        <v>590</v>
      </c>
      <c r="H70" s="26"/>
      <c r="I70" s="19"/>
      <c r="J70" s="4" t="s">
        <v>218</v>
      </c>
      <c r="K70">
        <v>5</v>
      </c>
      <c r="L70" s="30">
        <v>4040</v>
      </c>
      <c r="M70" s="30">
        <v>808</v>
      </c>
    </row>
    <row r="71" spans="2:15" x14ac:dyDescent="0.25">
      <c r="B71" s="15">
        <v>43924</v>
      </c>
      <c r="C71" s="28">
        <v>1004</v>
      </c>
      <c r="D71" s="28" t="s">
        <v>173</v>
      </c>
      <c r="E71" s="28" t="s">
        <v>174</v>
      </c>
      <c r="F71" s="29">
        <v>670</v>
      </c>
      <c r="H71" s="26"/>
      <c r="I71" s="19"/>
      <c r="J71" s="4" t="s">
        <v>219</v>
      </c>
      <c r="K71">
        <v>4</v>
      </c>
      <c r="L71" s="30">
        <v>3330</v>
      </c>
      <c r="M71" s="30">
        <v>832.5</v>
      </c>
    </row>
    <row r="72" spans="2:15" x14ac:dyDescent="0.25">
      <c r="B72" s="15">
        <v>43951</v>
      </c>
      <c r="C72" s="28">
        <v>1005</v>
      </c>
      <c r="D72" s="28" t="s">
        <v>175</v>
      </c>
      <c r="E72" s="28" t="s">
        <v>153</v>
      </c>
      <c r="F72" s="29">
        <v>780</v>
      </c>
      <c r="H72" s="26"/>
      <c r="I72" s="19"/>
      <c r="J72" s="4" t="s">
        <v>220</v>
      </c>
      <c r="K72">
        <v>4</v>
      </c>
      <c r="L72" s="30">
        <v>2860</v>
      </c>
      <c r="M72" s="30">
        <v>715</v>
      </c>
    </row>
    <row r="73" spans="2:15" x14ac:dyDescent="0.25">
      <c r="B73" s="15">
        <v>43978</v>
      </c>
      <c r="C73" s="28">
        <v>1006</v>
      </c>
      <c r="D73" s="28" t="s">
        <v>176</v>
      </c>
      <c r="E73" s="28" t="s">
        <v>177</v>
      </c>
      <c r="F73" s="29">
        <v>920</v>
      </c>
      <c r="H73" s="26"/>
      <c r="I73" s="19"/>
      <c r="J73" s="8" t="s">
        <v>221</v>
      </c>
      <c r="K73">
        <v>10</v>
      </c>
      <c r="L73" s="30">
        <v>7680</v>
      </c>
      <c r="M73" s="30">
        <v>768</v>
      </c>
    </row>
    <row r="74" spans="2:15" x14ac:dyDescent="0.25">
      <c r="B74" s="15">
        <v>43993</v>
      </c>
      <c r="C74" s="28">
        <v>1007</v>
      </c>
      <c r="D74" s="28" t="s">
        <v>178</v>
      </c>
      <c r="E74" s="28" t="s">
        <v>179</v>
      </c>
      <c r="F74" s="29">
        <v>860</v>
      </c>
      <c r="H74" s="26"/>
      <c r="I74" s="19"/>
      <c r="J74" s="4" t="s">
        <v>217</v>
      </c>
      <c r="K74">
        <v>3</v>
      </c>
      <c r="L74" s="30">
        <v>2630</v>
      </c>
      <c r="M74" s="30">
        <v>876.66666666666663</v>
      </c>
    </row>
    <row r="75" spans="2:15" x14ac:dyDescent="0.25">
      <c r="B75" s="15">
        <v>44008</v>
      </c>
      <c r="C75" s="28">
        <v>1008</v>
      </c>
      <c r="D75" s="28" t="s">
        <v>74</v>
      </c>
      <c r="E75" s="28" t="s">
        <v>180</v>
      </c>
      <c r="F75" s="29">
        <v>810</v>
      </c>
      <c r="H75" s="26"/>
      <c r="I75" s="19"/>
      <c r="J75" s="4" t="s">
        <v>218</v>
      </c>
      <c r="K75">
        <v>3</v>
      </c>
      <c r="L75" s="30">
        <v>2180</v>
      </c>
      <c r="M75" s="30">
        <v>726.66666666666663</v>
      </c>
    </row>
    <row r="76" spans="2:15" x14ac:dyDescent="0.25">
      <c r="B76" s="15">
        <v>44023</v>
      </c>
      <c r="C76" s="28">
        <v>1009</v>
      </c>
      <c r="D76" s="28" t="s">
        <v>181</v>
      </c>
      <c r="E76" s="28" t="s">
        <v>182</v>
      </c>
      <c r="F76" s="29">
        <v>950</v>
      </c>
      <c r="H76" s="26"/>
      <c r="I76" s="19"/>
      <c r="J76" s="4" t="s">
        <v>219</v>
      </c>
      <c r="K76">
        <v>3</v>
      </c>
      <c r="L76" s="30">
        <v>2050</v>
      </c>
      <c r="M76" s="30">
        <v>683.33333333333337</v>
      </c>
    </row>
    <row r="77" spans="2:15" x14ac:dyDescent="0.25">
      <c r="B77" s="15">
        <v>44038</v>
      </c>
      <c r="C77" s="28">
        <v>1010</v>
      </c>
      <c r="D77" s="28" t="s">
        <v>183</v>
      </c>
      <c r="E77" s="28" t="s">
        <v>184</v>
      </c>
      <c r="F77" s="29">
        <v>790</v>
      </c>
      <c r="H77" s="26"/>
      <c r="I77" s="19"/>
      <c r="J77" s="4" t="s">
        <v>220</v>
      </c>
      <c r="K77">
        <v>1</v>
      </c>
      <c r="L77" s="30">
        <v>820</v>
      </c>
      <c r="M77" s="30">
        <v>820</v>
      </c>
    </row>
    <row r="78" spans="2:15" x14ac:dyDescent="0.25">
      <c r="B78" s="15">
        <v>44061</v>
      </c>
      <c r="C78" s="28">
        <v>1011</v>
      </c>
      <c r="D78" s="28" t="s">
        <v>185</v>
      </c>
      <c r="E78" s="28" t="s">
        <v>186</v>
      </c>
      <c r="F78" s="29">
        <v>980</v>
      </c>
      <c r="H78" s="26"/>
      <c r="I78" s="19"/>
      <c r="J78" s="50" t="s">
        <v>215</v>
      </c>
      <c r="K78" s="51">
        <v>26</v>
      </c>
      <c r="L78" s="52">
        <v>19830</v>
      </c>
      <c r="M78" s="52">
        <v>762.69230769230774</v>
      </c>
    </row>
    <row r="79" spans="2:15" x14ac:dyDescent="0.25">
      <c r="B79" s="15">
        <v>44084</v>
      </c>
      <c r="C79" s="28">
        <v>1012</v>
      </c>
      <c r="D79" s="28" t="s">
        <v>187</v>
      </c>
      <c r="E79" s="28" t="s">
        <v>188</v>
      </c>
      <c r="F79" s="29">
        <v>610</v>
      </c>
      <c r="H79" s="26"/>
      <c r="I79" s="19"/>
    </row>
    <row r="80" spans="2:15" x14ac:dyDescent="0.25">
      <c r="B80" s="15">
        <v>44107</v>
      </c>
      <c r="C80" s="28">
        <v>1013</v>
      </c>
      <c r="D80" s="28" t="s">
        <v>189</v>
      </c>
      <c r="E80" s="28" t="s">
        <v>190</v>
      </c>
      <c r="F80" s="29">
        <v>610</v>
      </c>
      <c r="H80" s="26"/>
      <c r="I80" s="19"/>
    </row>
    <row r="81" spans="2:12" x14ac:dyDescent="0.25">
      <c r="B81" s="15">
        <v>44130</v>
      </c>
      <c r="C81" s="28">
        <v>1014</v>
      </c>
      <c r="D81" s="28" t="s">
        <v>191</v>
      </c>
      <c r="E81" s="28" t="s">
        <v>192</v>
      </c>
      <c r="F81" s="29">
        <v>700</v>
      </c>
      <c r="H81" s="26"/>
      <c r="I81" s="19"/>
    </row>
    <row r="82" spans="2:12" x14ac:dyDescent="0.25">
      <c r="B82" s="15">
        <v>44156</v>
      </c>
      <c r="C82" s="28">
        <v>1015</v>
      </c>
      <c r="D82" s="28" t="s">
        <v>193</v>
      </c>
      <c r="E82" s="28" t="s">
        <v>194</v>
      </c>
      <c r="F82" s="29">
        <v>840</v>
      </c>
      <c r="H82" s="26"/>
      <c r="I82" s="19"/>
    </row>
    <row r="83" spans="2:12" x14ac:dyDescent="0.25">
      <c r="B83" s="15">
        <v>44182</v>
      </c>
      <c r="C83" s="28">
        <v>1016</v>
      </c>
      <c r="D83" s="28" t="s">
        <v>150</v>
      </c>
      <c r="E83" s="28" t="s">
        <v>195</v>
      </c>
      <c r="F83" s="29">
        <v>710</v>
      </c>
      <c r="H83" s="26"/>
      <c r="I83" s="19"/>
    </row>
    <row r="84" spans="2:12" x14ac:dyDescent="0.25">
      <c r="B84" s="15">
        <v>44208</v>
      </c>
      <c r="C84" s="28">
        <v>1017</v>
      </c>
      <c r="D84" s="28" t="s">
        <v>196</v>
      </c>
      <c r="E84" s="28" t="s">
        <v>197</v>
      </c>
      <c r="F84" s="29">
        <v>960</v>
      </c>
      <c r="H84" s="26"/>
      <c r="I84" s="19"/>
    </row>
    <row r="85" spans="2:12" x14ac:dyDescent="0.25">
      <c r="B85" s="15">
        <v>44234</v>
      </c>
      <c r="C85" s="28">
        <v>1018</v>
      </c>
      <c r="D85" s="28" t="s">
        <v>198</v>
      </c>
      <c r="E85" s="28" t="s">
        <v>190</v>
      </c>
      <c r="F85" s="29">
        <v>920</v>
      </c>
      <c r="H85" s="26"/>
      <c r="I85" s="19"/>
      <c r="K85" s="19"/>
      <c r="L85" s="27"/>
    </row>
    <row r="86" spans="2:12" x14ac:dyDescent="0.25">
      <c r="B86" s="15">
        <v>44260</v>
      </c>
      <c r="C86" s="28">
        <v>1019</v>
      </c>
      <c r="D86" s="28" t="s">
        <v>199</v>
      </c>
      <c r="E86" s="28" t="s">
        <v>200</v>
      </c>
      <c r="F86" s="29">
        <v>750</v>
      </c>
      <c r="H86" s="26"/>
      <c r="I86" s="19"/>
      <c r="K86" s="19"/>
      <c r="L86" s="27"/>
    </row>
    <row r="87" spans="2:12" x14ac:dyDescent="0.25">
      <c r="B87" s="15">
        <v>44297</v>
      </c>
      <c r="C87" s="28">
        <v>1020</v>
      </c>
      <c r="D87" s="28" t="s">
        <v>201</v>
      </c>
      <c r="E87" s="28" t="s">
        <v>202</v>
      </c>
      <c r="F87" s="29">
        <v>540</v>
      </c>
      <c r="H87" s="26"/>
      <c r="I87" s="19"/>
      <c r="K87" s="19"/>
      <c r="L87" s="27"/>
    </row>
    <row r="88" spans="2:12" x14ac:dyDescent="0.25">
      <c r="B88" s="15">
        <v>44334</v>
      </c>
      <c r="C88" s="28">
        <v>1021</v>
      </c>
      <c r="D88" s="28" t="s">
        <v>203</v>
      </c>
      <c r="E88" s="28" t="s">
        <v>204</v>
      </c>
      <c r="F88" s="29">
        <v>720</v>
      </c>
      <c r="H88" s="26"/>
      <c r="I88" s="19"/>
      <c r="K88" s="19"/>
      <c r="L88" s="27"/>
    </row>
    <row r="89" spans="2:12" x14ac:dyDescent="0.25">
      <c r="B89" s="15">
        <v>44371</v>
      </c>
      <c r="C89" s="28">
        <v>1022</v>
      </c>
      <c r="D89" s="28" t="s">
        <v>205</v>
      </c>
      <c r="E89" s="28" t="s">
        <v>206</v>
      </c>
      <c r="F89" s="29">
        <v>920</v>
      </c>
      <c r="H89" s="26"/>
      <c r="I89" s="19"/>
      <c r="K89" s="19"/>
      <c r="L89" s="27"/>
    </row>
    <row r="90" spans="2:12" x14ac:dyDescent="0.25">
      <c r="B90" s="15">
        <v>44408</v>
      </c>
      <c r="C90" s="28">
        <v>1023</v>
      </c>
      <c r="D90" s="28" t="s">
        <v>207</v>
      </c>
      <c r="E90" s="28" t="s">
        <v>208</v>
      </c>
      <c r="F90" s="29">
        <v>550</v>
      </c>
      <c r="H90" s="26"/>
      <c r="I90" s="19"/>
      <c r="K90" s="19"/>
      <c r="L90" s="27"/>
    </row>
    <row r="91" spans="2:12" x14ac:dyDescent="0.25">
      <c r="B91" s="15">
        <v>44445</v>
      </c>
      <c r="C91" s="28">
        <v>1024</v>
      </c>
      <c r="D91" s="28" t="s">
        <v>209</v>
      </c>
      <c r="E91" s="28" t="s">
        <v>210</v>
      </c>
      <c r="F91" s="29">
        <v>830</v>
      </c>
      <c r="H91" s="26"/>
      <c r="I91" s="19"/>
      <c r="K91" s="19"/>
      <c r="L91" s="27"/>
    </row>
    <row r="92" spans="2:12" x14ac:dyDescent="0.25">
      <c r="B92" s="15">
        <v>44463</v>
      </c>
      <c r="C92" s="28">
        <v>1025</v>
      </c>
      <c r="D92" s="28" t="s">
        <v>211</v>
      </c>
      <c r="E92" s="28" t="s">
        <v>212</v>
      </c>
      <c r="F92" s="29">
        <v>670</v>
      </c>
      <c r="H92" s="26"/>
      <c r="I92" s="19"/>
      <c r="K92" s="19"/>
      <c r="L92" s="27"/>
    </row>
    <row r="93" spans="2:12" x14ac:dyDescent="0.25">
      <c r="B93" s="15">
        <v>44553</v>
      </c>
      <c r="C93" s="28">
        <v>1030</v>
      </c>
      <c r="D93" s="28" t="s">
        <v>213</v>
      </c>
      <c r="E93" s="28" t="s">
        <v>190</v>
      </c>
      <c r="F93" s="29">
        <v>820</v>
      </c>
      <c r="H93" s="26"/>
      <c r="I93" s="19"/>
      <c r="K93" s="19"/>
      <c r="L93" s="27"/>
    </row>
    <row r="98" spans="2:13" ht="15.75" x14ac:dyDescent="0.25">
      <c r="B98" s="78" t="s">
        <v>227</v>
      </c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</row>
    <row r="99" spans="2:13" ht="15.75" customHeight="1" x14ac:dyDescent="0.25">
      <c r="B99" s="33" t="s">
        <v>238</v>
      </c>
    </row>
    <row r="101" spans="2:13" ht="15.75" thickBot="1" x14ac:dyDescent="0.3">
      <c r="B101" s="41" t="s">
        <v>229</v>
      </c>
      <c r="C101" s="41" t="s">
        <v>230</v>
      </c>
      <c r="D101" s="41" t="s">
        <v>231</v>
      </c>
      <c r="E101" s="41" t="s">
        <v>69</v>
      </c>
      <c r="F101" s="41" t="s">
        <v>70</v>
      </c>
      <c r="I101" s="79" t="s">
        <v>232</v>
      </c>
      <c r="J101" s="80"/>
      <c r="K101" s="80"/>
    </row>
    <row r="102" spans="2:13" ht="15.75" thickTop="1" x14ac:dyDescent="0.25">
      <c r="B102" s="19" t="s">
        <v>239</v>
      </c>
      <c r="C102" s="39">
        <v>1210982</v>
      </c>
      <c r="D102" s="39">
        <v>521647</v>
      </c>
      <c r="E102" s="39">
        <v>689335</v>
      </c>
      <c r="F102" s="40">
        <v>0.56899999999999995</v>
      </c>
      <c r="I102" s="36" t="s">
        <v>233</v>
      </c>
      <c r="J102" s="36" t="s">
        <v>234</v>
      </c>
      <c r="K102" s="36" t="s">
        <v>229</v>
      </c>
    </row>
    <row r="103" spans="2:13" x14ac:dyDescent="0.25">
      <c r="B103" s="19" t="s">
        <v>240</v>
      </c>
      <c r="C103" s="39">
        <v>1015723</v>
      </c>
      <c r="D103" s="39">
        <v>684281</v>
      </c>
      <c r="E103" s="39">
        <v>331442</v>
      </c>
      <c r="F103" s="40">
        <v>0.32600000000000001</v>
      </c>
      <c r="I103" cm="1">
        <f t="array" ref="I103:I107">_xlfn.SEQUENCE(5)</f>
        <v>1</v>
      </c>
      <c r="J103" s="42">
        <f>LARGE(F102:F113,I103)</f>
        <v>0.56899999999999995</v>
      </c>
      <c r="K103" t="str">
        <f>_xlfn.XLOOKUP(J103,F102:F113,B102:B113)</f>
        <v>Nike</v>
      </c>
      <c r="M103" s="43" t="s">
        <v>249</v>
      </c>
    </row>
    <row r="104" spans="2:13" x14ac:dyDescent="0.25">
      <c r="B104" s="19" t="s">
        <v>241</v>
      </c>
      <c r="C104" s="39">
        <v>2349567</v>
      </c>
      <c r="D104" s="39">
        <v>1081457</v>
      </c>
      <c r="E104" s="39">
        <v>1268110</v>
      </c>
      <c r="F104" s="40">
        <v>0.53900000000000003</v>
      </c>
      <c r="I104">
        <v>2</v>
      </c>
      <c r="J104" s="42">
        <f t="shared" ref="J104:J107" si="4">LARGE(F103:F114,I104)</f>
        <v>0.53900000000000003</v>
      </c>
      <c r="K104" t="str">
        <f t="shared" ref="K104:K107" si="5">_xlfn.XLOOKUP(J104,F103:F114,B103:B114)</f>
        <v>Apple</v>
      </c>
    </row>
    <row r="105" spans="2:13" x14ac:dyDescent="0.25">
      <c r="B105" s="19" t="s">
        <v>242</v>
      </c>
      <c r="C105" s="39">
        <v>1872409</v>
      </c>
      <c r="D105" s="39">
        <v>1042658</v>
      </c>
      <c r="E105" s="39">
        <v>829751</v>
      </c>
      <c r="F105" s="40">
        <v>0.443</v>
      </c>
      <c r="I105">
        <v>3</v>
      </c>
      <c r="J105" s="42">
        <f t="shared" si="4"/>
        <v>0.48599999999999999</v>
      </c>
      <c r="K105" t="str">
        <f t="shared" si="5"/>
        <v>Microsoft</v>
      </c>
    </row>
    <row r="106" spans="2:13" x14ac:dyDescent="0.25">
      <c r="B106" s="19" t="s">
        <v>243</v>
      </c>
      <c r="C106" s="39">
        <v>1452687</v>
      </c>
      <c r="D106" s="39">
        <v>746893</v>
      </c>
      <c r="E106" s="39">
        <v>705794</v>
      </c>
      <c r="F106" s="40">
        <v>0.48599999999999999</v>
      </c>
      <c r="I106">
        <v>4</v>
      </c>
      <c r="J106" s="42">
        <f t="shared" si="4"/>
        <v>0.45500000000000002</v>
      </c>
      <c r="K106" t="str">
        <f t="shared" si="5"/>
        <v>Puma</v>
      </c>
    </row>
    <row r="107" spans="2:13" x14ac:dyDescent="0.25">
      <c r="B107" s="19" t="s">
        <v>244</v>
      </c>
      <c r="C107" s="39">
        <v>708263</v>
      </c>
      <c r="D107" s="39">
        <v>385924</v>
      </c>
      <c r="E107" s="39">
        <v>322339</v>
      </c>
      <c r="F107" s="40">
        <v>0.45500000000000002</v>
      </c>
      <c r="I107">
        <v>5</v>
      </c>
      <c r="J107" s="42">
        <f t="shared" si="4"/>
        <v>0.30099999999999999</v>
      </c>
      <c r="K107" t="str">
        <f t="shared" si="5"/>
        <v>Google</v>
      </c>
    </row>
    <row r="108" spans="2:13" x14ac:dyDescent="0.25">
      <c r="B108" s="19" t="s">
        <v>245</v>
      </c>
      <c r="C108" s="39">
        <v>983271</v>
      </c>
      <c r="D108" s="39">
        <v>721466</v>
      </c>
      <c r="E108" s="39">
        <v>261805</v>
      </c>
      <c r="F108" s="40">
        <v>0.26600000000000001</v>
      </c>
    </row>
    <row r="109" spans="2:13" ht="15.75" thickBot="1" x14ac:dyDescent="0.3">
      <c r="B109" s="19" t="s">
        <v>246</v>
      </c>
      <c r="C109" s="39">
        <v>3281950</v>
      </c>
      <c r="D109" s="39">
        <v>2819364</v>
      </c>
      <c r="E109" s="39">
        <v>462586</v>
      </c>
      <c r="F109" s="40">
        <v>0.14099999999999999</v>
      </c>
      <c r="I109" s="79" t="s">
        <v>235</v>
      </c>
      <c r="J109" s="80"/>
      <c r="K109" s="80"/>
    </row>
    <row r="110" spans="2:13" ht="15.75" thickTop="1" x14ac:dyDescent="0.25">
      <c r="B110" s="19" t="s">
        <v>247</v>
      </c>
      <c r="C110" s="39">
        <v>2715384</v>
      </c>
      <c r="D110" s="39">
        <v>1897254</v>
      </c>
      <c r="E110" s="39">
        <v>818130</v>
      </c>
      <c r="F110" s="40">
        <v>0.30099999999999999</v>
      </c>
      <c r="I110" s="37" t="s">
        <v>233</v>
      </c>
      <c r="J110" s="37" t="s">
        <v>234</v>
      </c>
      <c r="K110" s="37" t="s">
        <v>229</v>
      </c>
    </row>
    <row r="111" spans="2:13" x14ac:dyDescent="0.25">
      <c r="B111" s="19" t="s">
        <v>248</v>
      </c>
      <c r="C111" s="39">
        <v>1890577</v>
      </c>
      <c r="D111" s="39">
        <v>980745</v>
      </c>
      <c r="E111" s="39">
        <v>909832</v>
      </c>
      <c r="F111" s="40">
        <v>0.48099999999999998</v>
      </c>
      <c r="I111" cm="1">
        <f t="array" ref="I111:I115">_xlfn.SEQUENCE(5)</f>
        <v>1</v>
      </c>
      <c r="J111" s="42">
        <f>SMALL(F102:F113,I111)</f>
        <v>0.11660551743354175</v>
      </c>
      <c r="K111" t="str">
        <f>_xlfn.XLOOKUP(J111,F102:F113,B102:B113)</f>
        <v>Georgia Coffee</v>
      </c>
      <c r="M111" s="43" t="s">
        <v>250</v>
      </c>
    </row>
    <row r="112" spans="2:13" x14ac:dyDescent="0.25">
      <c r="B112" s="34" t="s">
        <v>236</v>
      </c>
      <c r="C112" s="32">
        <v>468784.31852435984</v>
      </c>
      <c r="D112" s="32">
        <v>414121.48049809661</v>
      </c>
      <c r="E112" s="32">
        <f t="shared" ref="E112:E113" si="6">C112-D112</f>
        <v>54662.838026263227</v>
      </c>
      <c r="F112" s="35">
        <f t="shared" ref="F112:F113" si="7">E112/C112</f>
        <v>0.11660551743354175</v>
      </c>
      <c r="I112">
        <v>2</v>
      </c>
      <c r="J112" s="42">
        <f t="shared" ref="J112:J115" si="8">SMALL(F103:F114,I112)</f>
        <v>0.14099999999999999</v>
      </c>
      <c r="K112" t="str">
        <f t="shared" ref="K112:K115" si="9">_xlfn.XLOOKUP(J112,F103:F114,B103:B114)</f>
        <v>Amazon</v>
      </c>
    </row>
    <row r="113" spans="2:21" x14ac:dyDescent="0.25">
      <c r="B113" s="34" t="s">
        <v>237</v>
      </c>
      <c r="C113" s="32">
        <v>716204.3100096666</v>
      </c>
      <c r="D113" s="32">
        <v>329969.37696431158</v>
      </c>
      <c r="E113" s="32">
        <f t="shared" si="6"/>
        <v>386234.93304535502</v>
      </c>
      <c r="F113" s="35">
        <f t="shared" si="7"/>
        <v>0.53928038081778928</v>
      </c>
      <c r="I113">
        <v>3</v>
      </c>
      <c r="J113" s="42">
        <f t="shared" si="8"/>
        <v>0.26600000000000001</v>
      </c>
      <c r="K113" t="str">
        <f t="shared" si="9"/>
        <v>Tesla</v>
      </c>
    </row>
    <row r="114" spans="2:21" x14ac:dyDescent="0.25">
      <c r="I114">
        <v>4</v>
      </c>
      <c r="J114" s="42">
        <f t="shared" si="8"/>
        <v>0.30099999999999999</v>
      </c>
      <c r="K114" t="str">
        <f t="shared" si="9"/>
        <v>Google</v>
      </c>
    </row>
    <row r="115" spans="2:21" x14ac:dyDescent="0.25">
      <c r="B115" s="38"/>
      <c r="C115" s="38"/>
      <c r="D115" s="38"/>
      <c r="E115" s="38"/>
      <c r="F115" s="38"/>
      <c r="I115">
        <v>5</v>
      </c>
      <c r="J115" s="42">
        <f t="shared" si="8"/>
        <v>0.45500000000000002</v>
      </c>
      <c r="K115" t="str">
        <f t="shared" si="9"/>
        <v>Puma</v>
      </c>
    </row>
    <row r="116" spans="2:21" x14ac:dyDescent="0.25">
      <c r="B116" s="19"/>
      <c r="C116" s="39"/>
      <c r="D116" s="39"/>
      <c r="E116" s="39"/>
      <c r="F116" s="40"/>
    </row>
    <row r="117" spans="2:21" x14ac:dyDescent="0.25">
      <c r="B117" s="19"/>
      <c r="C117" s="39"/>
      <c r="D117" s="39"/>
      <c r="E117" s="39"/>
      <c r="F117" s="40"/>
    </row>
    <row r="118" spans="2:21" x14ac:dyDescent="0.25">
      <c r="B118" s="19"/>
      <c r="C118" s="39"/>
      <c r="D118" s="39"/>
      <c r="E118" s="39"/>
      <c r="F118" s="40"/>
    </row>
    <row r="119" spans="2:21" ht="15.75" x14ac:dyDescent="0.25">
      <c r="B119" s="78" t="s">
        <v>259</v>
      </c>
      <c r="C119" s="78"/>
      <c r="D119" s="78"/>
      <c r="E119" s="78"/>
      <c r="F119" s="78"/>
      <c r="G119" s="78"/>
      <c r="H119" s="78"/>
      <c r="I119" s="78"/>
      <c r="J119" s="69"/>
      <c r="K119" s="83" t="s">
        <v>265</v>
      </c>
      <c r="L119" s="83"/>
      <c r="M119" s="83"/>
      <c r="N119" s="83"/>
      <c r="O119" s="83"/>
      <c r="P119" s="83"/>
      <c r="Q119" s="71"/>
      <c r="R119" s="71"/>
      <c r="S119" s="70"/>
      <c r="T119" s="70"/>
      <c r="U119" s="70"/>
    </row>
    <row r="120" spans="2:21" x14ac:dyDescent="0.25">
      <c r="B120" t="s">
        <v>260</v>
      </c>
      <c r="K120" t="s">
        <v>266</v>
      </c>
      <c r="M120" s="44"/>
      <c r="N120" s="45"/>
      <c r="O120" s="45"/>
      <c r="P120" s="45"/>
    </row>
    <row r="121" spans="2:21" ht="32.25" customHeight="1" x14ac:dyDescent="0.25">
      <c r="B121" s="43"/>
      <c r="K121" s="82" t="s">
        <v>267</v>
      </c>
      <c r="L121" s="82"/>
      <c r="M121" s="82"/>
      <c r="N121" s="82"/>
      <c r="O121" s="82"/>
      <c r="P121" s="82"/>
    </row>
    <row r="122" spans="2:21" x14ac:dyDescent="0.25">
      <c r="B122" s="46" t="s">
        <v>135</v>
      </c>
      <c r="C122" s="48">
        <v>44197</v>
      </c>
      <c r="D122" s="48">
        <f>EDATE(C122,1)</f>
        <v>44228</v>
      </c>
      <c r="E122" s="48">
        <f t="shared" ref="E122:F122" si="10">EDATE(D122,1)</f>
        <v>44256</v>
      </c>
      <c r="F122" s="48">
        <f t="shared" si="10"/>
        <v>44287</v>
      </c>
      <c r="G122" s="48">
        <f>EDATE(F122,1)</f>
        <v>44317</v>
      </c>
      <c r="M122" s="44"/>
      <c r="N122" s="45"/>
      <c r="O122" s="45"/>
      <c r="P122" s="45"/>
    </row>
    <row r="123" spans="2:21" x14ac:dyDescent="0.25">
      <c r="B123" s="43" t="s">
        <v>251</v>
      </c>
      <c r="C123" s="49">
        <f>SUMIFS($G$128:$G$142,$D$128:$D$142,C122,$C$128:$C$142,$B$123)</f>
        <v>111164</v>
      </c>
      <c r="D123" s="49">
        <f t="shared" ref="D123:G123" si="11">SUMIFS($G$128:$G$142,$D$128:$D$142,D122,$C$128:$C$142,$B$123)</f>
        <v>122236</v>
      </c>
      <c r="E123" s="49">
        <f t="shared" si="11"/>
        <v>84248</v>
      </c>
      <c r="F123" s="49">
        <f t="shared" si="11"/>
        <v>66323</v>
      </c>
      <c r="G123" s="49">
        <f t="shared" si="11"/>
        <v>87653</v>
      </c>
      <c r="I123" s="43" t="s">
        <v>261</v>
      </c>
      <c r="L123" s="60" t="s">
        <v>263</v>
      </c>
      <c r="M123" s="61">
        <v>44317</v>
      </c>
      <c r="N123" s="45"/>
      <c r="O123" s="73" t="s">
        <v>269</v>
      </c>
    </row>
    <row r="124" spans="2:21" x14ac:dyDescent="0.25">
      <c r="B124" s="43" t="s">
        <v>251</v>
      </c>
      <c r="C124" s="49">
        <f>INDEX($G$128:$G$142,MATCH(C122,$D$128:$D$142,0), MATCH($B$124,$C$128:$C$142,0))</f>
        <v>111164</v>
      </c>
      <c r="D124" s="49">
        <f t="shared" ref="D124:G124" si="12">INDEX($G$128:$G$142,MATCH(D122,$D$128:$D$142,0), MATCH($B$124,$C$128:$C$142,0))</f>
        <v>122236</v>
      </c>
      <c r="E124" s="49">
        <f t="shared" si="12"/>
        <v>84248</v>
      </c>
      <c r="F124" s="49">
        <f t="shared" si="12"/>
        <v>66323</v>
      </c>
      <c r="G124" s="49">
        <f t="shared" si="12"/>
        <v>87653</v>
      </c>
      <c r="I124" s="43" t="s">
        <v>262</v>
      </c>
      <c r="M124" s="44"/>
      <c r="N124" s="45"/>
      <c r="O124" s="45"/>
    </row>
    <row r="125" spans="2:21" x14ac:dyDescent="0.25">
      <c r="B125" s="43"/>
      <c r="L125" s="60" t="s">
        <v>264</v>
      </c>
      <c r="M125" s="62">
        <f>_xlfn.XLOOKUP(M123,C122:G122,C123:G123)</f>
        <v>87653</v>
      </c>
      <c r="N125" s="45"/>
      <c r="O125" s="73" t="s">
        <v>268</v>
      </c>
    </row>
    <row r="126" spans="2:21" ht="15.75" thickBot="1" x14ac:dyDescent="0.3">
      <c r="C126" s="77" t="s">
        <v>252</v>
      </c>
      <c r="D126" s="77"/>
      <c r="E126" s="77"/>
      <c r="F126" s="77"/>
      <c r="G126" s="77"/>
    </row>
    <row r="127" spans="2:21" ht="15.75" thickTop="1" x14ac:dyDescent="0.25">
      <c r="B127" s="43"/>
      <c r="C127" s="47" t="s">
        <v>135</v>
      </c>
      <c r="D127" s="47" t="s">
        <v>253</v>
      </c>
      <c r="E127" s="47" t="s">
        <v>254</v>
      </c>
      <c r="F127" s="47" t="s">
        <v>255</v>
      </c>
      <c r="G127" s="47" t="s">
        <v>256</v>
      </c>
    </row>
    <row r="128" spans="2:21" x14ac:dyDescent="0.25">
      <c r="C128" s="20" t="s">
        <v>251</v>
      </c>
      <c r="D128" s="57">
        <v>44197</v>
      </c>
      <c r="E128" s="39">
        <v>356284</v>
      </c>
      <c r="F128" s="39">
        <v>245120</v>
      </c>
      <c r="G128" s="39">
        <v>111164</v>
      </c>
      <c r="I128" s="38"/>
      <c r="J128" s="38"/>
      <c r="K128" s="38"/>
      <c r="L128" s="38"/>
      <c r="M128" s="38"/>
    </row>
    <row r="129" spans="3:13" x14ac:dyDescent="0.25">
      <c r="C129" s="20" t="s">
        <v>257</v>
      </c>
      <c r="D129" s="57">
        <v>44197</v>
      </c>
      <c r="E129" s="39">
        <v>186537</v>
      </c>
      <c r="F129" s="39">
        <v>126885</v>
      </c>
      <c r="G129" s="39">
        <v>59652</v>
      </c>
      <c r="I129" s="19"/>
      <c r="J129" s="59"/>
      <c r="K129" s="39"/>
      <c r="L129" s="39"/>
      <c r="M129" s="39"/>
    </row>
    <row r="130" spans="3:13" x14ac:dyDescent="0.25">
      <c r="C130" s="20" t="s">
        <v>258</v>
      </c>
      <c r="D130" s="57">
        <v>44197</v>
      </c>
      <c r="E130" s="39">
        <v>312489</v>
      </c>
      <c r="F130" s="39">
        <v>210750</v>
      </c>
      <c r="G130" s="39">
        <v>101739</v>
      </c>
      <c r="I130" s="19"/>
      <c r="J130" s="59"/>
      <c r="K130" s="39"/>
      <c r="L130" s="39"/>
      <c r="M130" s="39"/>
    </row>
    <row r="131" spans="3:13" x14ac:dyDescent="0.25">
      <c r="C131" s="20" t="s">
        <v>251</v>
      </c>
      <c r="D131" s="57">
        <v>44228</v>
      </c>
      <c r="E131" s="39">
        <v>398728</v>
      </c>
      <c r="F131" s="39">
        <v>276492</v>
      </c>
      <c r="G131" s="39">
        <v>122236</v>
      </c>
      <c r="I131" s="19"/>
      <c r="J131" s="59"/>
      <c r="K131" s="39"/>
      <c r="L131" s="39"/>
      <c r="M131" s="39"/>
    </row>
    <row r="132" spans="3:13" x14ac:dyDescent="0.25">
      <c r="C132" s="20" t="s">
        <v>257</v>
      </c>
      <c r="D132" s="57">
        <v>44228</v>
      </c>
      <c r="E132" s="39">
        <v>211315</v>
      </c>
      <c r="F132" s="39">
        <v>142550</v>
      </c>
      <c r="G132" s="39">
        <v>68765</v>
      </c>
      <c r="I132" s="19"/>
      <c r="J132" s="59"/>
      <c r="K132" s="39"/>
      <c r="L132" s="39"/>
      <c r="M132" s="39"/>
    </row>
    <row r="133" spans="3:13" x14ac:dyDescent="0.25">
      <c r="C133" s="20" t="s">
        <v>258</v>
      </c>
      <c r="D133" s="57">
        <v>44228</v>
      </c>
      <c r="E133" s="39">
        <v>374820</v>
      </c>
      <c r="F133" s="39">
        <v>254197</v>
      </c>
      <c r="G133" s="39">
        <v>120623</v>
      </c>
      <c r="I133" s="19"/>
      <c r="J133" s="59"/>
      <c r="K133" s="39"/>
      <c r="L133" s="39"/>
      <c r="M133" s="39"/>
    </row>
    <row r="134" spans="3:13" x14ac:dyDescent="0.25">
      <c r="C134" s="20" t="s">
        <v>251</v>
      </c>
      <c r="D134" s="57">
        <v>44256</v>
      </c>
      <c r="E134" s="39">
        <v>267493</v>
      </c>
      <c r="F134" s="39">
        <v>183245</v>
      </c>
      <c r="G134" s="39">
        <v>84248</v>
      </c>
      <c r="I134" s="19"/>
      <c r="J134" s="59"/>
      <c r="K134" s="39"/>
      <c r="L134" s="39"/>
      <c r="M134" s="39"/>
    </row>
    <row r="135" spans="3:13" x14ac:dyDescent="0.25">
      <c r="C135" s="20" t="s">
        <v>257</v>
      </c>
      <c r="D135" s="57">
        <v>44256</v>
      </c>
      <c r="E135" s="39">
        <v>136610</v>
      </c>
      <c r="F135" s="39">
        <v>93627</v>
      </c>
      <c r="G135" s="39">
        <v>42983</v>
      </c>
      <c r="I135" s="19"/>
      <c r="J135" s="59"/>
      <c r="K135" s="39"/>
      <c r="L135" s="39"/>
      <c r="M135" s="39"/>
    </row>
    <row r="136" spans="3:13" x14ac:dyDescent="0.25">
      <c r="C136" s="20" t="s">
        <v>258</v>
      </c>
      <c r="D136" s="57">
        <v>44256</v>
      </c>
      <c r="E136" s="39">
        <v>247802</v>
      </c>
      <c r="F136" s="39">
        <v>174361</v>
      </c>
      <c r="G136" s="39">
        <v>73441</v>
      </c>
      <c r="I136" s="19"/>
      <c r="J136" s="59"/>
      <c r="K136" s="39"/>
      <c r="L136" s="39"/>
      <c r="M136" s="39"/>
    </row>
    <row r="137" spans="3:13" x14ac:dyDescent="0.25">
      <c r="C137" s="20" t="s">
        <v>251</v>
      </c>
      <c r="D137" s="57">
        <v>44287</v>
      </c>
      <c r="E137" s="39">
        <v>223744</v>
      </c>
      <c r="F137" s="39">
        <v>157421</v>
      </c>
      <c r="G137" s="39">
        <v>66323</v>
      </c>
      <c r="I137" s="19"/>
      <c r="J137" s="59"/>
      <c r="K137" s="39"/>
      <c r="L137" s="39"/>
      <c r="M137" s="39"/>
    </row>
    <row r="138" spans="3:13" x14ac:dyDescent="0.25">
      <c r="C138" s="20" t="s">
        <v>257</v>
      </c>
      <c r="D138" s="57">
        <v>44287</v>
      </c>
      <c r="E138" s="39">
        <v>109949</v>
      </c>
      <c r="F138" s="39">
        <v>75865</v>
      </c>
      <c r="G138" s="39">
        <v>34084</v>
      </c>
      <c r="I138" s="19"/>
      <c r="J138" s="59"/>
      <c r="K138" s="39"/>
      <c r="L138" s="39"/>
      <c r="M138" s="39"/>
    </row>
    <row r="139" spans="3:13" x14ac:dyDescent="0.25">
      <c r="C139" s="20" t="s">
        <v>258</v>
      </c>
      <c r="D139" s="57">
        <v>44287</v>
      </c>
      <c r="E139" s="39">
        <v>207321</v>
      </c>
      <c r="F139" s="39">
        <v>144725</v>
      </c>
      <c r="G139" s="39">
        <v>62596</v>
      </c>
      <c r="I139" s="19"/>
      <c r="J139" s="59"/>
      <c r="K139" s="39"/>
      <c r="L139" s="39"/>
    </row>
    <row r="140" spans="3:13" x14ac:dyDescent="0.25">
      <c r="C140" s="20" t="s">
        <v>251</v>
      </c>
      <c r="D140" s="57">
        <v>44317</v>
      </c>
      <c r="E140" s="39">
        <v>276842</v>
      </c>
      <c r="F140" s="39">
        <v>189189</v>
      </c>
      <c r="G140" s="39">
        <v>87653</v>
      </c>
      <c r="I140" s="19"/>
      <c r="J140" s="59"/>
      <c r="K140" s="39"/>
      <c r="L140" s="39"/>
      <c r="M140" s="39"/>
    </row>
    <row r="141" spans="3:13" x14ac:dyDescent="0.25">
      <c r="C141" s="20" t="s">
        <v>257</v>
      </c>
      <c r="D141" s="57">
        <v>44317</v>
      </c>
      <c r="E141" s="39">
        <v>146729</v>
      </c>
      <c r="F141" s="39">
        <v>98210</v>
      </c>
      <c r="G141" s="39">
        <v>48519</v>
      </c>
      <c r="I141" s="19"/>
      <c r="J141" s="59"/>
      <c r="K141" s="39"/>
      <c r="L141" s="39"/>
      <c r="M141" s="39"/>
    </row>
    <row r="142" spans="3:13" x14ac:dyDescent="0.25">
      <c r="C142" s="20" t="s">
        <v>258</v>
      </c>
      <c r="D142" s="57">
        <v>44317</v>
      </c>
      <c r="E142" s="39">
        <v>265450</v>
      </c>
      <c r="F142" s="39">
        <v>178815</v>
      </c>
      <c r="G142" s="39">
        <v>86635</v>
      </c>
      <c r="I142" s="19"/>
      <c r="J142" s="59"/>
      <c r="K142" s="39"/>
      <c r="L142" s="39"/>
      <c r="M142" s="39"/>
    </row>
    <row r="143" spans="3:13" x14ac:dyDescent="0.25">
      <c r="I143" s="19"/>
      <c r="J143" s="59"/>
      <c r="K143" s="39"/>
      <c r="L143" s="39"/>
      <c r="M143" s="39"/>
    </row>
    <row r="144" spans="3:13" x14ac:dyDescent="0.25">
      <c r="C144" s="20"/>
      <c r="D144" s="57"/>
      <c r="E144" s="58"/>
      <c r="F144" s="58"/>
      <c r="G144" s="58"/>
    </row>
    <row r="145" spans="2:16" x14ac:dyDescent="0.25">
      <c r="C145" s="20"/>
      <c r="D145" s="57"/>
      <c r="E145" s="58"/>
      <c r="F145" s="58"/>
      <c r="G145" s="58"/>
    </row>
    <row r="146" spans="2:16" x14ac:dyDescent="0.25">
      <c r="C146" s="20"/>
      <c r="D146" s="57"/>
      <c r="E146" s="58"/>
      <c r="F146" s="58"/>
      <c r="G146" s="58"/>
    </row>
    <row r="147" spans="2:16" x14ac:dyDescent="0.25">
      <c r="C147" s="20"/>
      <c r="D147" s="57"/>
      <c r="E147" s="58"/>
      <c r="F147" s="58"/>
      <c r="G147" s="58"/>
    </row>
    <row r="148" spans="2:16" x14ac:dyDescent="0.25">
      <c r="B148" s="76" t="s">
        <v>281</v>
      </c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68"/>
    </row>
    <row r="149" spans="2:16" x14ac:dyDescent="0.25">
      <c r="B149" t="s">
        <v>282</v>
      </c>
      <c r="E149" s="58"/>
      <c r="F149" s="58"/>
      <c r="G149" s="58"/>
    </row>
    <row r="150" spans="2:16" ht="15.75" x14ac:dyDescent="0.25">
      <c r="B150" s="64"/>
      <c r="E150" s="58"/>
      <c r="F150" s="58"/>
      <c r="G150" s="58"/>
    </row>
    <row r="151" spans="2:16" x14ac:dyDescent="0.25">
      <c r="B151" s="47" t="s">
        <v>270</v>
      </c>
      <c r="C151" s="43"/>
      <c r="D151" s="21" t="s">
        <v>283</v>
      </c>
      <c r="E151" s="58"/>
      <c r="F151" s="65" t="s">
        <v>284</v>
      </c>
      <c r="G151" s="58"/>
      <c r="H151" s="75" t="s">
        <v>297</v>
      </c>
      <c r="I151" s="75"/>
      <c r="J151" s="75"/>
      <c r="L151" s="21" t="s">
        <v>131</v>
      </c>
      <c r="M151" s="21" t="s">
        <v>132</v>
      </c>
      <c r="N151" s="21" t="s">
        <v>285</v>
      </c>
      <c r="O151" s="21" t="s">
        <v>286</v>
      </c>
    </row>
    <row r="152" spans="2:16" x14ac:dyDescent="0.25">
      <c r="B152" t="s">
        <v>271</v>
      </c>
      <c r="D152" t="str" cm="1">
        <f t="array" ref="D152:D161">TRIM(B152:B161)</f>
        <v>Sam sMIth 479585665 AZ</v>
      </c>
      <c r="E152" s="58"/>
      <c r="F152" s="66" t="str">
        <f>PROPER(D152)</f>
        <v>Sam Smith 479585665 Az</v>
      </c>
      <c r="G152" s="58"/>
      <c r="H152" t="s">
        <v>287</v>
      </c>
      <c r="L152" s="20" t="s">
        <v>298</v>
      </c>
      <c r="M152" s="20" t="s">
        <v>299</v>
      </c>
      <c r="N152" s="74">
        <v>479585665</v>
      </c>
      <c r="O152" s="20" t="s">
        <v>316</v>
      </c>
    </row>
    <row r="153" spans="2:16" x14ac:dyDescent="0.25">
      <c r="B153" s="43" t="s">
        <v>272</v>
      </c>
      <c r="D153" t="str">
        <v>Josh JACk 209758689 CA</v>
      </c>
      <c r="E153" s="58"/>
      <c r="F153" s="66" t="str">
        <f t="shared" ref="F153:F161" si="13">PROPER(D153)</f>
        <v>Josh Jack 209758689 Ca</v>
      </c>
      <c r="G153" s="58"/>
      <c r="H153" t="s">
        <v>288</v>
      </c>
      <c r="L153" s="20" t="s">
        <v>300</v>
      </c>
      <c r="M153" s="20" t="s">
        <v>301</v>
      </c>
      <c r="N153" s="74">
        <v>209758689</v>
      </c>
      <c r="O153" s="20" t="s">
        <v>317</v>
      </c>
    </row>
    <row r="154" spans="2:16" x14ac:dyDescent="0.25">
      <c r="B154" t="s">
        <v>273</v>
      </c>
      <c r="D154" t="str">
        <v>THEREsa Mayer 303127896 CO</v>
      </c>
      <c r="E154" s="58"/>
      <c r="F154" s="66" t="str">
        <f t="shared" si="13"/>
        <v>Theresa Mayer 303127896 Co</v>
      </c>
      <c r="G154" s="58"/>
      <c r="H154" t="s">
        <v>289</v>
      </c>
      <c r="L154" s="20" t="s">
        <v>302</v>
      </c>
      <c r="M154" s="20" t="s">
        <v>303</v>
      </c>
      <c r="N154" s="74">
        <v>303127896</v>
      </c>
      <c r="O154" s="20" t="s">
        <v>318</v>
      </c>
    </row>
    <row r="155" spans="2:16" x14ac:dyDescent="0.25">
      <c r="B155" t="s">
        <v>274</v>
      </c>
      <c r="D155" t="str">
        <v>Adam JohnSON 303025168 co</v>
      </c>
      <c r="E155" s="58"/>
      <c r="F155" s="66" t="str">
        <f t="shared" si="13"/>
        <v>Adam Johnson 303025168 Co</v>
      </c>
      <c r="G155" s="58"/>
      <c r="H155" t="s">
        <v>290</v>
      </c>
      <c r="L155" s="20" t="s">
        <v>304</v>
      </c>
      <c r="M155" s="20" t="s">
        <v>170</v>
      </c>
      <c r="N155" s="74">
        <v>303025168</v>
      </c>
      <c r="O155" s="20" t="s">
        <v>318</v>
      </c>
    </row>
    <row r="156" spans="2:16" x14ac:dyDescent="0.25">
      <c r="B156" s="13" t="s">
        <v>275</v>
      </c>
      <c r="D156" t="str">
        <v>Sammy Lee 212558667 ny</v>
      </c>
      <c r="E156" s="58"/>
      <c r="F156" s="66" t="str">
        <f t="shared" si="13"/>
        <v>Sammy Lee 212558667 Ny</v>
      </c>
      <c r="G156" s="58"/>
      <c r="H156" t="s">
        <v>291</v>
      </c>
      <c r="L156" s="20" t="s">
        <v>305</v>
      </c>
      <c r="M156" s="20" t="s">
        <v>306</v>
      </c>
      <c r="N156" s="74">
        <v>212558667</v>
      </c>
      <c r="O156" s="20" t="s">
        <v>251</v>
      </c>
    </row>
    <row r="157" spans="2:16" x14ac:dyDescent="0.25">
      <c r="B157" t="s">
        <v>276</v>
      </c>
      <c r="D157" t="str">
        <v>John LEE 603548687 NH</v>
      </c>
      <c r="E157" s="58"/>
      <c r="F157" s="66" t="str">
        <f t="shared" si="13"/>
        <v>John Lee 603548687 Nh</v>
      </c>
      <c r="G157" s="58"/>
      <c r="H157" t="s">
        <v>292</v>
      </c>
      <c r="L157" s="20" t="s">
        <v>307</v>
      </c>
      <c r="M157" s="20" t="s">
        <v>306</v>
      </c>
      <c r="N157" s="74">
        <v>603548687</v>
      </c>
      <c r="O157" s="20" t="s">
        <v>319</v>
      </c>
    </row>
    <row r="158" spans="2:16" x14ac:dyDescent="0.25">
      <c r="B158" s="63" t="s">
        <v>277</v>
      </c>
      <c r="D158" t="str">
        <v>MARK Andersen 732335487 NJ</v>
      </c>
      <c r="E158" s="58"/>
      <c r="F158" s="66" t="str">
        <f t="shared" si="13"/>
        <v>Mark Andersen 732335487 Nj</v>
      </c>
      <c r="G158" s="58"/>
      <c r="H158" t="s">
        <v>293</v>
      </c>
      <c r="L158" s="20" t="s">
        <v>308</v>
      </c>
      <c r="M158" s="20" t="s">
        <v>309</v>
      </c>
      <c r="N158" s="74">
        <v>732335487</v>
      </c>
      <c r="O158" s="20" t="s">
        <v>320</v>
      </c>
    </row>
    <row r="159" spans="2:16" x14ac:dyDescent="0.25">
      <c r="B159" t="s">
        <v>278</v>
      </c>
      <c r="D159" t="str">
        <v>Sarah Von 207789252 me</v>
      </c>
      <c r="F159" s="66" t="str">
        <f t="shared" si="13"/>
        <v>Sarah Von 207789252 Me</v>
      </c>
      <c r="H159" t="s">
        <v>294</v>
      </c>
      <c r="L159" s="20" t="s">
        <v>310</v>
      </c>
      <c r="M159" s="20" t="s">
        <v>311</v>
      </c>
      <c r="N159" s="74">
        <v>207789252</v>
      </c>
      <c r="O159" s="20" t="s">
        <v>321</v>
      </c>
    </row>
    <row r="160" spans="2:16" x14ac:dyDescent="0.25">
      <c r="B160" t="s">
        <v>279</v>
      </c>
      <c r="D160" t="str">
        <v>Hanna Hoover 610023585 PA</v>
      </c>
      <c r="F160" s="66" t="str">
        <f t="shared" si="13"/>
        <v>Hanna Hoover 610023585 Pa</v>
      </c>
      <c r="H160" t="s">
        <v>295</v>
      </c>
      <c r="L160" s="20" t="s">
        <v>312</v>
      </c>
      <c r="M160" s="20" t="s">
        <v>313</v>
      </c>
      <c r="N160" s="74">
        <v>610023585</v>
      </c>
      <c r="O160" s="20" t="s">
        <v>322</v>
      </c>
    </row>
    <row r="161" spans="2:15" x14ac:dyDescent="0.25">
      <c r="B161" s="43" t="s">
        <v>280</v>
      </c>
      <c r="D161" t="str">
        <v>Irina Adams 401178699 RI</v>
      </c>
      <c r="F161" s="66" t="str">
        <f t="shared" si="13"/>
        <v>Irina Adams 401178699 Ri</v>
      </c>
      <c r="H161" t="s">
        <v>296</v>
      </c>
      <c r="L161" s="20" t="s">
        <v>314</v>
      </c>
      <c r="M161" s="20" t="s">
        <v>186</v>
      </c>
      <c r="N161" s="74">
        <v>401178699</v>
      </c>
      <c r="O161" s="20" t="s">
        <v>323</v>
      </c>
    </row>
    <row r="166" spans="2:15" x14ac:dyDescent="0.25">
      <c r="B166" s="83" t="s">
        <v>324</v>
      </c>
      <c r="C166" s="83"/>
      <c r="D166" s="83"/>
      <c r="E166" s="83"/>
      <c r="F166" s="83"/>
      <c r="H166" s="43" t="s">
        <v>336</v>
      </c>
    </row>
    <row r="167" spans="2:15" x14ac:dyDescent="0.25">
      <c r="B167" t="s">
        <v>333</v>
      </c>
    </row>
    <row r="169" spans="2:15" ht="15.75" x14ac:dyDescent="0.25">
      <c r="B169" s="94" t="s">
        <v>86</v>
      </c>
      <c r="C169" s="94"/>
      <c r="E169" s="94" t="s">
        <v>71</v>
      </c>
      <c r="F169" s="94"/>
    </row>
    <row r="170" spans="2:15" ht="15.75" x14ac:dyDescent="0.25">
      <c r="B170" t="s">
        <v>325</v>
      </c>
      <c r="C170" s="95">
        <v>11381.856540084387</v>
      </c>
      <c r="D170" s="86"/>
      <c r="E170" t="s">
        <v>230</v>
      </c>
      <c r="F170" s="45">
        <f>C170*C171</f>
        <v>227637.13080168774</v>
      </c>
    </row>
    <row r="171" spans="2:15" ht="15.75" x14ac:dyDescent="0.25">
      <c r="B171" t="s">
        <v>326</v>
      </c>
      <c r="C171" s="96">
        <v>20</v>
      </c>
      <c r="D171" s="87"/>
      <c r="E171" t="s">
        <v>231</v>
      </c>
      <c r="F171" s="45">
        <f>C170*-C172</f>
        <v>-91054.852320675098</v>
      </c>
    </row>
    <row r="172" spans="2:15" ht="15.75" x14ac:dyDescent="0.25">
      <c r="B172" t="s">
        <v>327</v>
      </c>
      <c r="C172" s="96">
        <v>8</v>
      </c>
      <c r="D172" s="87"/>
      <c r="E172" s="88" t="s">
        <v>328</v>
      </c>
      <c r="F172" s="89">
        <f>SUM(F170:F171)</f>
        <v>136582.27848101265</v>
      </c>
    </row>
    <row r="173" spans="2:15" ht="15.75" x14ac:dyDescent="0.25">
      <c r="B173" t="s">
        <v>334</v>
      </c>
      <c r="C173" s="95">
        <v>10000</v>
      </c>
      <c r="D173" s="86"/>
      <c r="E173" t="s">
        <v>334</v>
      </c>
      <c r="F173" s="45">
        <f>-C173</f>
        <v>-10000</v>
      </c>
    </row>
    <row r="174" spans="2:15" ht="15.75" x14ac:dyDescent="0.25">
      <c r="B174" t="s">
        <v>329</v>
      </c>
      <c r="C174" s="97">
        <v>0.21</v>
      </c>
      <c r="D174" s="90"/>
      <c r="E174" s="88" t="s">
        <v>330</v>
      </c>
      <c r="F174" s="89">
        <f>SUM(F172:F173)</f>
        <v>126582.27848101265</v>
      </c>
    </row>
    <row r="175" spans="2:15" ht="15.75" x14ac:dyDescent="0.25">
      <c r="B175" s="4"/>
      <c r="C175" s="87"/>
      <c r="E175" t="s">
        <v>331</v>
      </c>
      <c r="F175" s="45">
        <f>IF(F174&lt;0,"0",F174*-C174)</f>
        <v>-26582.278481012654</v>
      </c>
    </row>
    <row r="176" spans="2:15" ht="15.75" x14ac:dyDescent="0.25">
      <c r="B176" s="83" t="s">
        <v>335</v>
      </c>
      <c r="C176" s="83"/>
      <c r="E176" s="100" t="s">
        <v>332</v>
      </c>
      <c r="F176" s="101">
        <f>SUM(F174:F175)</f>
        <v>100000</v>
      </c>
    </row>
    <row r="177" spans="2:14" x14ac:dyDescent="0.25">
      <c r="B177" t="s">
        <v>256</v>
      </c>
      <c r="C177" s="45">
        <v>100000</v>
      </c>
    </row>
    <row r="182" spans="2:14" x14ac:dyDescent="0.25">
      <c r="B182" s="83" t="s">
        <v>337</v>
      </c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</row>
    <row r="183" spans="2:14" x14ac:dyDescent="0.25">
      <c r="B183" t="s">
        <v>341</v>
      </c>
      <c r="J183" s="43" t="s">
        <v>338</v>
      </c>
    </row>
    <row r="185" spans="2:14" ht="15.75" x14ac:dyDescent="0.25">
      <c r="B185" s="94" t="s">
        <v>338</v>
      </c>
      <c r="C185" s="94"/>
      <c r="D185" s="94"/>
      <c r="E185" s="94"/>
      <c r="F185" s="94"/>
      <c r="H185" s="94" t="s">
        <v>339</v>
      </c>
      <c r="I185" s="94"/>
      <c r="J185" s="94"/>
      <c r="K185" s="94"/>
      <c r="L185" s="94"/>
      <c r="M185" s="94"/>
      <c r="N185" s="94"/>
    </row>
    <row r="186" spans="2:14" ht="15.75" x14ac:dyDescent="0.25">
      <c r="J186" s="102" t="s">
        <v>222</v>
      </c>
      <c r="K186" s="102"/>
      <c r="L186" s="102"/>
      <c r="M186" s="102"/>
      <c r="N186" s="102"/>
    </row>
    <row r="187" spans="2:14" ht="15.75" x14ac:dyDescent="0.25">
      <c r="B187" s="94" t="s">
        <v>86</v>
      </c>
      <c r="C187" s="94"/>
      <c r="E187" s="94" t="s">
        <v>71</v>
      </c>
      <c r="F187" s="94"/>
      <c r="I187" s="106">
        <f>F194</f>
        <v>100000.00000000124</v>
      </c>
      <c r="J187" s="103">
        <f>K187-3000</f>
        <v>19000</v>
      </c>
      <c r="K187" s="103">
        <f>L187-3000</f>
        <v>22000</v>
      </c>
      <c r="L187" s="95">
        <v>25000</v>
      </c>
      <c r="M187" s="103">
        <f>L187+3000</f>
        <v>28000</v>
      </c>
      <c r="N187" s="103">
        <f>M187+3000</f>
        <v>31000</v>
      </c>
    </row>
    <row r="188" spans="2:14" ht="15.75" x14ac:dyDescent="0.25">
      <c r="B188" t="s">
        <v>325</v>
      </c>
      <c r="C188" s="95">
        <v>25000</v>
      </c>
      <c r="E188" t="s">
        <v>230</v>
      </c>
      <c r="F188" s="45">
        <f>C188*C189</f>
        <v>205332.27848101422</v>
      </c>
      <c r="H188" s="104" t="s">
        <v>340</v>
      </c>
      <c r="I188" s="105">
        <f>I189-1</f>
        <v>6.2132911392405692</v>
      </c>
      <c r="J188" s="49">
        <f t="dataTable" ref="J188:N192" dt2D="1" dtr="1" r1="C188" r2="C189"/>
        <v>44084.000000000939</v>
      </c>
      <c r="K188" s="49">
        <v>52292.000000001106</v>
      </c>
      <c r="L188" s="49">
        <v>60500.000000001237</v>
      </c>
      <c r="M188" s="49">
        <v>68708.000000001382</v>
      </c>
      <c r="N188" s="49">
        <v>76916.000000001543</v>
      </c>
    </row>
    <row r="189" spans="2:14" ht="15.75" x14ac:dyDescent="0.25">
      <c r="B189" t="s">
        <v>326</v>
      </c>
      <c r="C189" s="96">
        <v>8.2132911392405692</v>
      </c>
      <c r="E189" t="s">
        <v>231</v>
      </c>
      <c r="F189" s="45">
        <f>-C188*C190</f>
        <v>-68750</v>
      </c>
      <c r="H189" s="104"/>
      <c r="I189" s="105">
        <f>I190-1</f>
        <v>7.2132911392405692</v>
      </c>
      <c r="J189" s="49">
        <v>59094.000000000953</v>
      </c>
      <c r="K189" s="107">
        <v>69672.000000001106</v>
      </c>
      <c r="L189" s="107">
        <v>80250.000000001237</v>
      </c>
      <c r="M189" s="107">
        <v>90828.000000001382</v>
      </c>
      <c r="N189" s="49">
        <v>101406.00000000154</v>
      </c>
    </row>
    <row r="190" spans="2:14" ht="15.75" x14ac:dyDescent="0.25">
      <c r="B190" t="s">
        <v>327</v>
      </c>
      <c r="C190" s="96">
        <v>2.75</v>
      </c>
      <c r="E190" s="88" t="s">
        <v>328</v>
      </c>
      <c r="F190" s="89">
        <f>SUM(F188:F189)</f>
        <v>136582.27848101422</v>
      </c>
      <c r="H190" s="104"/>
      <c r="I190" s="96">
        <v>8.2132911392405692</v>
      </c>
      <c r="J190" s="49">
        <v>74104.000000000946</v>
      </c>
      <c r="K190" s="107">
        <v>87052.000000001106</v>
      </c>
      <c r="L190" s="108">
        <v>100000.00000000124</v>
      </c>
      <c r="M190" s="107">
        <v>112948.00000000138</v>
      </c>
      <c r="N190" s="49">
        <v>125896.00000000154</v>
      </c>
    </row>
    <row r="191" spans="2:14" ht="15.75" x14ac:dyDescent="0.25">
      <c r="B191" t="s">
        <v>334</v>
      </c>
      <c r="C191" s="95">
        <v>10000</v>
      </c>
      <c r="E191" t="s">
        <v>334</v>
      </c>
      <c r="F191" s="45">
        <f>-C191</f>
        <v>-10000</v>
      </c>
      <c r="H191" s="104"/>
      <c r="I191" s="105">
        <f>I190+1</f>
        <v>9.2132911392405692</v>
      </c>
      <c r="J191" s="49">
        <v>89114.00000000096</v>
      </c>
      <c r="K191" s="107">
        <v>104432.00000000111</v>
      </c>
      <c r="L191" s="107">
        <v>119750.00000000124</v>
      </c>
      <c r="M191" s="107">
        <v>135068.0000000014</v>
      </c>
      <c r="N191" s="49">
        <v>150386.00000000157</v>
      </c>
    </row>
    <row r="192" spans="2:14" ht="15.75" x14ac:dyDescent="0.25">
      <c r="B192" t="s">
        <v>329</v>
      </c>
      <c r="C192" s="97">
        <v>0.21</v>
      </c>
      <c r="E192" s="88" t="s">
        <v>330</v>
      </c>
      <c r="F192" s="89">
        <f>SUM(F190:F191)</f>
        <v>126582.27848101422</v>
      </c>
      <c r="H192" s="104"/>
      <c r="I192" s="105">
        <f>I191+1</f>
        <v>10.213291139240569</v>
      </c>
      <c r="J192" s="49">
        <v>104124.00000000096</v>
      </c>
      <c r="K192" s="49">
        <v>121812.00000000111</v>
      </c>
      <c r="L192" s="49">
        <v>139500.00000000122</v>
      </c>
      <c r="M192" s="49">
        <v>157188.0000000014</v>
      </c>
      <c r="N192" s="49">
        <v>174876.00000000157</v>
      </c>
    </row>
    <row r="193" spans="2:8" x14ac:dyDescent="0.25">
      <c r="E193" t="s">
        <v>331</v>
      </c>
      <c r="F193" s="91">
        <f>IF(F192&lt;=0,"0",-C192*F192)</f>
        <v>-26582.278481012985</v>
      </c>
    </row>
    <row r="194" spans="2:8" ht="15.75" x14ac:dyDescent="0.25">
      <c r="E194" s="98" t="s">
        <v>332</v>
      </c>
      <c r="F194" s="99">
        <f>SUM(F192:F193)</f>
        <v>100000.00000000124</v>
      </c>
    </row>
    <row r="199" spans="2:8" x14ac:dyDescent="0.25">
      <c r="B199" s="83" t="s">
        <v>350</v>
      </c>
      <c r="C199" s="83"/>
      <c r="D199" s="83"/>
      <c r="E199" s="83"/>
      <c r="F199" s="83"/>
      <c r="H199" s="43" t="s">
        <v>342</v>
      </c>
    </row>
    <row r="200" spans="2:8" x14ac:dyDescent="0.25">
      <c r="B200" t="s">
        <v>351</v>
      </c>
    </row>
    <row r="203" spans="2:8" ht="15.75" x14ac:dyDescent="0.25">
      <c r="B203" s="94" t="s">
        <v>342</v>
      </c>
      <c r="C203" s="94"/>
      <c r="D203" s="94"/>
      <c r="E203" s="94"/>
    </row>
    <row r="204" spans="2:8" ht="15.75" x14ac:dyDescent="0.25">
      <c r="B204" s="115" t="s">
        <v>343</v>
      </c>
      <c r="C204" s="116">
        <v>44562</v>
      </c>
      <c r="D204" s="116">
        <f>EDATE(C204,12)</f>
        <v>44927</v>
      </c>
      <c r="E204" s="116">
        <f>EDATE(D204,12)</f>
        <v>45292</v>
      </c>
    </row>
    <row r="205" spans="2:8" x14ac:dyDescent="0.25">
      <c r="B205" t="s">
        <v>254</v>
      </c>
      <c r="C205" s="45">
        <f>CHOOSE($C$209,C212,C213,C214)</f>
        <v>12500</v>
      </c>
      <c r="D205" s="45">
        <f t="shared" ref="D205:E205" si="14">CHOOSE($C$209,D212,D213,D214)</f>
        <v>13000</v>
      </c>
      <c r="E205" s="45">
        <f t="shared" si="14"/>
        <v>13250</v>
      </c>
    </row>
    <row r="206" spans="2:8" x14ac:dyDescent="0.25">
      <c r="B206" t="s">
        <v>344</v>
      </c>
      <c r="C206" s="45">
        <f>CHOOSE($C$209,C217,C218,C219)</f>
        <v>-22500</v>
      </c>
      <c r="D206" s="45">
        <f t="shared" ref="D206:E206" si="15">CHOOSE($C$209,D217,D218,D219)</f>
        <v>-30000</v>
      </c>
      <c r="E206" s="45">
        <f t="shared" si="15"/>
        <v>-45000</v>
      </c>
    </row>
    <row r="207" spans="2:8" ht="15.75" x14ac:dyDescent="0.25">
      <c r="B207" s="92" t="s">
        <v>332</v>
      </c>
      <c r="C207" s="93">
        <f>SUM(C205:C206)</f>
        <v>-10000</v>
      </c>
      <c r="D207" s="93">
        <f t="shared" ref="D207:E207" si="16">SUM(D205:D206)</f>
        <v>-17000</v>
      </c>
      <c r="E207" s="93">
        <f t="shared" si="16"/>
        <v>-31750</v>
      </c>
    </row>
    <row r="208" spans="2:8" ht="15.75" x14ac:dyDescent="0.25">
      <c r="B208" s="117"/>
      <c r="C208" s="118"/>
      <c r="D208" s="118"/>
      <c r="E208" s="118"/>
    </row>
    <row r="209" spans="2:5" ht="15.75" x14ac:dyDescent="0.25">
      <c r="B209" s="117" t="s">
        <v>352</v>
      </c>
      <c r="C209" s="119">
        <v>3</v>
      </c>
      <c r="D209" s="118"/>
      <c r="E209" s="118"/>
    </row>
    <row r="210" spans="2:5" ht="15.75" x14ac:dyDescent="0.25">
      <c r="B210" s="117"/>
      <c r="C210" s="118"/>
      <c r="D210" s="118"/>
      <c r="E210" s="118"/>
    </row>
    <row r="211" spans="2:5" ht="15.75" x14ac:dyDescent="0.25">
      <c r="B211" s="109" t="s">
        <v>345</v>
      </c>
      <c r="C211" s="110"/>
      <c r="D211" s="110"/>
      <c r="E211" s="110"/>
    </row>
    <row r="212" spans="2:5" ht="15.75" x14ac:dyDescent="0.25">
      <c r="B212" s="111" t="s">
        <v>346</v>
      </c>
      <c r="C212" s="112">
        <v>50000</v>
      </c>
      <c r="D212" s="112">
        <v>125000</v>
      </c>
      <c r="E212" s="112">
        <v>250000</v>
      </c>
    </row>
    <row r="213" spans="2:5" ht="15.75" x14ac:dyDescent="0.25">
      <c r="B213" s="111" t="s">
        <v>347</v>
      </c>
      <c r="C213" s="112">
        <v>25000</v>
      </c>
      <c r="D213" s="112">
        <v>37500</v>
      </c>
      <c r="E213" s="112">
        <v>50000</v>
      </c>
    </row>
    <row r="214" spans="2:5" ht="15.75" x14ac:dyDescent="0.25">
      <c r="B214" s="111" t="s">
        <v>348</v>
      </c>
      <c r="C214" s="112">
        <v>12500</v>
      </c>
      <c r="D214" s="112">
        <v>13000</v>
      </c>
      <c r="E214" s="112">
        <v>13250</v>
      </c>
    </row>
    <row r="215" spans="2:5" ht="15.75" x14ac:dyDescent="0.25">
      <c r="B215" s="113"/>
      <c r="C215" s="114"/>
      <c r="D215" s="114"/>
      <c r="E215" s="114"/>
    </row>
    <row r="216" spans="2:5" ht="15.75" x14ac:dyDescent="0.25">
      <c r="B216" s="109" t="s">
        <v>349</v>
      </c>
      <c r="C216" s="114"/>
      <c r="D216" s="114"/>
      <c r="E216" s="114"/>
    </row>
    <row r="217" spans="2:5" ht="15.75" x14ac:dyDescent="0.25">
      <c r="B217" s="111" t="s">
        <v>346</v>
      </c>
      <c r="C217" s="112">
        <v>-5000</v>
      </c>
      <c r="D217" s="112">
        <v>-12500</v>
      </c>
      <c r="E217" s="112">
        <v>-25000</v>
      </c>
    </row>
    <row r="218" spans="2:5" ht="15.75" x14ac:dyDescent="0.25">
      <c r="B218" s="111" t="s">
        <v>347</v>
      </c>
      <c r="C218" s="112">
        <v>-16000</v>
      </c>
      <c r="D218" s="112">
        <v>-25000</v>
      </c>
      <c r="E218" s="112">
        <v>-37500</v>
      </c>
    </row>
    <row r="219" spans="2:5" ht="15.75" x14ac:dyDescent="0.25">
      <c r="B219" s="111" t="s">
        <v>348</v>
      </c>
      <c r="C219" s="112">
        <v>-22500</v>
      </c>
      <c r="D219" s="112">
        <v>-30000</v>
      </c>
      <c r="E219" s="112">
        <v>-45000</v>
      </c>
    </row>
  </sheetData>
  <mergeCells count="32">
    <mergeCell ref="H188:H192"/>
    <mergeCell ref="B182:N182"/>
    <mergeCell ref="B203:E203"/>
    <mergeCell ref="B199:F199"/>
    <mergeCell ref="B185:F185"/>
    <mergeCell ref="H185:N185"/>
    <mergeCell ref="J186:N186"/>
    <mergeCell ref="B187:C187"/>
    <mergeCell ref="E187:F187"/>
    <mergeCell ref="B166:F166"/>
    <mergeCell ref="B169:C169"/>
    <mergeCell ref="E169:F169"/>
    <mergeCell ref="B176:C176"/>
    <mergeCell ref="B2:I2"/>
    <mergeCell ref="B98:M98"/>
    <mergeCell ref="B47:I47"/>
    <mergeCell ref="K121:P121"/>
    <mergeCell ref="K119:P119"/>
    <mergeCell ref="K2:O2"/>
    <mergeCell ref="B44:O44"/>
    <mergeCell ref="B64:I64"/>
    <mergeCell ref="B25:C25"/>
    <mergeCell ref="I24:O24"/>
    <mergeCell ref="B22:O22"/>
    <mergeCell ref="E5:F5"/>
    <mergeCell ref="E9:F9"/>
    <mergeCell ref="H151:J151"/>
    <mergeCell ref="B148:O148"/>
    <mergeCell ref="C126:G126"/>
    <mergeCell ref="B119:I119"/>
    <mergeCell ref="I101:K101"/>
    <mergeCell ref="I109:K109"/>
  </mergeCells>
  <conditionalFormatting sqref="O26:O40">
    <cfRule type="cellIs" dxfId="4" priority="3" operator="greaterThan">
      <formula>300</formula>
    </cfRule>
    <cfRule type="cellIs" dxfId="3" priority="4" operator="lessThan">
      <formula>300</formula>
    </cfRule>
    <cfRule type="cellIs" dxfId="2" priority="5" operator="greaterThan">
      <formula>300</formula>
    </cfRule>
  </conditionalFormatting>
  <conditionalFormatting sqref="F176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2">
    <dataValidation type="list" allowBlank="1" showInputMessage="1" showErrorMessage="1" sqref="M123" xr:uid="{6A13D821-3E81-47EB-BFEB-6DD78AC1F640}">
      <formula1>$C$122:$G$122</formula1>
    </dataValidation>
    <dataValidation type="list" allowBlank="1" showInputMessage="1" showErrorMessage="1" sqref="C209" xr:uid="{08C5F16C-27E0-4F2A-952C-25A87E7EF681}">
      <formula1>"1,2,3"</formula1>
    </dataValidation>
  </dataValidations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DF0B-50ED-4BE0-9BEA-EDE9E0354288}">
  <dimension ref="B2:O19"/>
  <sheetViews>
    <sheetView showGridLines="0" workbookViewId="0">
      <selection activeCell="O5" sqref="O5:O19"/>
    </sheetView>
  </sheetViews>
  <sheetFormatPr defaultColWidth="8.85546875" defaultRowHeight="15" x14ac:dyDescent="0.25"/>
  <cols>
    <col min="4" max="4" width="10.42578125" bestFit="1" customWidth="1"/>
    <col min="5" max="5" width="12.85546875" bestFit="1" customWidth="1"/>
    <col min="9" max="9" width="15.5703125" bestFit="1" customWidth="1"/>
  </cols>
  <sheetData>
    <row r="2" spans="2:15" x14ac:dyDescent="0.25">
      <c r="B2" t="s">
        <v>1</v>
      </c>
    </row>
    <row r="3" spans="2:15" x14ac:dyDescent="0.25">
      <c r="J3" s="2"/>
    </row>
    <row r="4" spans="2:15" x14ac:dyDescent="0.25">
      <c r="C4" t="s">
        <v>2</v>
      </c>
    </row>
    <row r="5" spans="2:15" x14ac:dyDescent="0.25">
      <c r="D5" t="s">
        <v>3</v>
      </c>
      <c r="E5" t="s">
        <v>34</v>
      </c>
      <c r="F5" s="1">
        <v>1001</v>
      </c>
      <c r="G5" t="s">
        <v>35</v>
      </c>
      <c r="H5" t="s">
        <v>38</v>
      </c>
      <c r="I5" t="s">
        <v>41</v>
      </c>
      <c r="J5" s="2">
        <v>301</v>
      </c>
      <c r="K5" t="s">
        <v>42</v>
      </c>
      <c r="L5" s="3" t="s">
        <v>19</v>
      </c>
      <c r="O5" t="str">
        <f>_xlfn.CONCAT(D5:L5)</f>
        <v>Squid Ward Transaction ID 1001 Honolulu Hawaii Purchase Amount 301 Email sward@gmail.com</v>
      </c>
    </row>
    <row r="6" spans="2:15" x14ac:dyDescent="0.25">
      <c r="D6" t="s">
        <v>4</v>
      </c>
      <c r="E6" t="s">
        <v>34</v>
      </c>
      <c r="F6" s="1">
        <v>1002</v>
      </c>
      <c r="G6" t="s">
        <v>35</v>
      </c>
      <c r="H6" t="s">
        <v>38</v>
      </c>
      <c r="I6" t="s">
        <v>41</v>
      </c>
      <c r="J6" s="2">
        <v>238</v>
      </c>
      <c r="K6" t="s">
        <v>42</v>
      </c>
      <c r="L6" s="3" t="s">
        <v>20</v>
      </c>
      <c r="O6" t="str">
        <f t="shared" ref="O6:O19" si="0">_xlfn.CONCAT(D6:L6)</f>
        <v>Sponge Bob Transaction ID 1002 Honolulu Hawaii Purchase Amount 238 Email sbob@gmail.com</v>
      </c>
    </row>
    <row r="7" spans="2:15" x14ac:dyDescent="0.25">
      <c r="D7" t="s">
        <v>5</v>
      </c>
      <c r="E7" t="s">
        <v>34</v>
      </c>
      <c r="F7" s="1">
        <v>1003</v>
      </c>
      <c r="G7" t="s">
        <v>36</v>
      </c>
      <c r="H7" t="s">
        <v>39</v>
      </c>
      <c r="I7" t="s">
        <v>41</v>
      </c>
      <c r="J7" s="2">
        <v>294</v>
      </c>
      <c r="K7" t="s">
        <v>42</v>
      </c>
      <c r="L7" s="3" t="s">
        <v>22</v>
      </c>
      <c r="O7" t="str">
        <f t="shared" si="0"/>
        <v>Homer Simp Transaction ID 1003 Austin Texas Purchase Amount 294 Email hsimp@gmail.com</v>
      </c>
    </row>
    <row r="8" spans="2:15" x14ac:dyDescent="0.25">
      <c r="D8" t="s">
        <v>6</v>
      </c>
      <c r="E8" t="s">
        <v>34</v>
      </c>
      <c r="F8" s="1">
        <v>1004</v>
      </c>
      <c r="G8" t="s">
        <v>36</v>
      </c>
      <c r="H8" t="s">
        <v>39</v>
      </c>
      <c r="I8" t="s">
        <v>41</v>
      </c>
      <c r="J8" s="2">
        <v>238</v>
      </c>
      <c r="K8" t="s">
        <v>42</v>
      </c>
      <c r="L8" s="3" t="s">
        <v>23</v>
      </c>
      <c r="O8" t="str">
        <f t="shared" si="0"/>
        <v>Elon Jobs Transaction ID 1004 Austin Texas Purchase Amount 238 Email ejobs@gmail.com</v>
      </c>
    </row>
    <row r="9" spans="2:15" x14ac:dyDescent="0.25">
      <c r="D9" t="s">
        <v>7</v>
      </c>
      <c r="E9" t="s">
        <v>34</v>
      </c>
      <c r="F9" s="1">
        <v>1005</v>
      </c>
      <c r="G9" t="s">
        <v>36</v>
      </c>
      <c r="H9" t="s">
        <v>39</v>
      </c>
      <c r="I9" t="s">
        <v>41</v>
      </c>
      <c r="J9" s="2">
        <v>294</v>
      </c>
      <c r="K9" t="s">
        <v>42</v>
      </c>
      <c r="L9" s="3" t="s">
        <v>21</v>
      </c>
      <c r="O9" t="str">
        <f t="shared" si="0"/>
        <v>Steve Musk Transaction ID 1005 Austin Texas Purchase Amount 294 Email smusk@gmail.com</v>
      </c>
    </row>
    <row r="10" spans="2:15" x14ac:dyDescent="0.25">
      <c r="D10" t="s">
        <v>8</v>
      </c>
      <c r="E10" t="s">
        <v>34</v>
      </c>
      <c r="F10" s="1">
        <v>1006</v>
      </c>
      <c r="G10" t="s">
        <v>45</v>
      </c>
      <c r="H10" t="s">
        <v>44</v>
      </c>
      <c r="I10" t="s">
        <v>41</v>
      </c>
      <c r="J10" s="2">
        <v>308</v>
      </c>
      <c r="K10" t="s">
        <v>42</v>
      </c>
      <c r="L10" s="3" t="s">
        <v>24</v>
      </c>
      <c r="O10" t="str">
        <f t="shared" si="0"/>
        <v>Warren Munger Transaction ID 1006 Chicago Illinois Purchase Amount 308 Email wmunger@gmail.com</v>
      </c>
    </row>
    <row r="11" spans="2:15" x14ac:dyDescent="0.25">
      <c r="D11" t="s">
        <v>9</v>
      </c>
      <c r="E11" t="s">
        <v>34</v>
      </c>
      <c r="F11" s="1">
        <v>1007</v>
      </c>
      <c r="G11" t="s">
        <v>45</v>
      </c>
      <c r="H11" t="s">
        <v>44</v>
      </c>
      <c r="I11" t="s">
        <v>41</v>
      </c>
      <c r="J11" s="2">
        <v>339.5</v>
      </c>
      <c r="K11" t="s">
        <v>42</v>
      </c>
      <c r="L11" s="3" t="s">
        <v>25</v>
      </c>
      <c r="O11" t="str">
        <f t="shared" si="0"/>
        <v>Charlie Buffett Transaction ID 1007 Chicago Illinois Purchase Amount 339.5 Email cbuffett@gmail.com</v>
      </c>
    </row>
    <row r="12" spans="2:15" x14ac:dyDescent="0.25">
      <c r="D12" t="s">
        <v>10</v>
      </c>
      <c r="E12" t="s">
        <v>34</v>
      </c>
      <c r="F12" s="1">
        <v>1008</v>
      </c>
      <c r="G12" t="s">
        <v>45</v>
      </c>
      <c r="H12" t="s">
        <v>44</v>
      </c>
      <c r="I12" t="s">
        <v>41</v>
      </c>
      <c r="J12" s="2">
        <v>332.5</v>
      </c>
      <c r="K12" t="s">
        <v>42</v>
      </c>
      <c r="L12" s="3" t="s">
        <v>26</v>
      </c>
      <c r="O12" t="str">
        <f t="shared" si="0"/>
        <v>Kobe James Transaction ID 1008 Chicago Illinois Purchase Amount 332.5 Email kjames@gmail.com</v>
      </c>
    </row>
    <row r="13" spans="2:15" x14ac:dyDescent="0.25">
      <c r="D13" t="s">
        <v>11</v>
      </c>
      <c r="E13" t="s">
        <v>34</v>
      </c>
      <c r="F13" s="1">
        <v>1009</v>
      </c>
      <c r="G13" t="s">
        <v>46</v>
      </c>
      <c r="H13" t="s">
        <v>47</v>
      </c>
      <c r="I13" t="s">
        <v>41</v>
      </c>
      <c r="J13" s="2">
        <v>318.5</v>
      </c>
      <c r="K13" t="s">
        <v>42</v>
      </c>
      <c r="L13" s="3" t="s">
        <v>27</v>
      </c>
      <c r="O13" t="str">
        <f t="shared" si="0"/>
        <v>Jordan Bryant Transaction ID 1009 Cleveland Ohio Purchase Amount 318.5 Email jbryant@gmail.com</v>
      </c>
    </row>
    <row r="14" spans="2:15" x14ac:dyDescent="0.25">
      <c r="D14" t="s">
        <v>12</v>
      </c>
      <c r="E14" t="s">
        <v>34</v>
      </c>
      <c r="F14" s="1">
        <v>1010</v>
      </c>
      <c r="G14" t="s">
        <v>46</v>
      </c>
      <c r="H14" t="s">
        <v>47</v>
      </c>
      <c r="I14" t="s">
        <v>41</v>
      </c>
      <c r="J14" s="2">
        <v>273</v>
      </c>
      <c r="K14" t="s">
        <v>42</v>
      </c>
      <c r="L14" s="3" t="s">
        <v>28</v>
      </c>
      <c r="O14" t="str">
        <f t="shared" si="0"/>
        <v>Tom Manning Transaction ID 1010 Cleveland Ohio Purchase Amount 273 Email tmanning@gmail.com</v>
      </c>
    </row>
    <row r="15" spans="2:15" x14ac:dyDescent="0.25">
      <c r="D15" t="s">
        <v>13</v>
      </c>
      <c r="E15" t="s">
        <v>34</v>
      </c>
      <c r="F15" s="1">
        <v>1011</v>
      </c>
      <c r="G15" t="s">
        <v>46</v>
      </c>
      <c r="H15" t="s">
        <v>47</v>
      </c>
      <c r="I15" t="s">
        <v>41</v>
      </c>
      <c r="J15" s="2">
        <v>252</v>
      </c>
      <c r="K15" t="s">
        <v>42</v>
      </c>
      <c r="L15" s="3" t="s">
        <v>29</v>
      </c>
      <c r="O15" t="str">
        <f t="shared" si="0"/>
        <v>Peyton Brady Transaction ID 1011 Cleveland Ohio Purchase Amount 252 Email pbrady@gmail.com</v>
      </c>
    </row>
    <row r="16" spans="2:15" x14ac:dyDescent="0.25">
      <c r="D16" t="s">
        <v>14</v>
      </c>
      <c r="E16" t="s">
        <v>34</v>
      </c>
      <c r="F16" s="1">
        <v>1012</v>
      </c>
      <c r="G16" t="s">
        <v>37</v>
      </c>
      <c r="H16" t="s">
        <v>40</v>
      </c>
      <c r="I16" t="s">
        <v>41</v>
      </c>
      <c r="J16" s="2">
        <v>346.5</v>
      </c>
      <c r="K16" t="s">
        <v>42</v>
      </c>
      <c r="L16" s="3" t="s">
        <v>30</v>
      </c>
      <c r="O16" t="str">
        <f t="shared" si="0"/>
        <v>Bob Builder Transaction ID 1012 Seattle Washington Purchase Amount 346.5 Email bbuilder@gmail.com</v>
      </c>
    </row>
    <row r="17" spans="4:15" x14ac:dyDescent="0.25">
      <c r="D17" t="s">
        <v>15</v>
      </c>
      <c r="E17" t="s">
        <v>34</v>
      </c>
      <c r="F17" s="1">
        <v>1013</v>
      </c>
      <c r="G17" t="s">
        <v>37</v>
      </c>
      <c r="H17" t="s">
        <v>40</v>
      </c>
      <c r="I17" t="s">
        <v>41</v>
      </c>
      <c r="J17" s="2">
        <v>339.5</v>
      </c>
      <c r="K17" t="s">
        <v>42</v>
      </c>
      <c r="L17" s="3" t="s">
        <v>31</v>
      </c>
      <c r="O17" t="str">
        <f t="shared" si="0"/>
        <v>Messi Ronaldo Transaction ID 1013 Seattle Washington Purchase Amount 339.5 Email mronaldo@gmail.com</v>
      </c>
    </row>
    <row r="18" spans="4:15" x14ac:dyDescent="0.25">
      <c r="D18" t="s">
        <v>16</v>
      </c>
      <c r="E18" t="s">
        <v>34</v>
      </c>
      <c r="F18" s="1">
        <v>1014</v>
      </c>
      <c r="G18" t="s">
        <v>37</v>
      </c>
      <c r="H18" t="s">
        <v>40</v>
      </c>
      <c r="I18" t="s">
        <v>41</v>
      </c>
      <c r="J18" s="2">
        <v>308</v>
      </c>
      <c r="K18" t="s">
        <v>42</v>
      </c>
      <c r="L18" s="3" t="s">
        <v>32</v>
      </c>
      <c r="O18" t="str">
        <f t="shared" si="0"/>
        <v>Roger Nadal Transaction ID 1014 Seattle Washington Purchase Amount 308 Email rnadal@gmail.com</v>
      </c>
    </row>
    <row r="19" spans="4:15" x14ac:dyDescent="0.25">
      <c r="D19" t="s">
        <v>17</v>
      </c>
      <c r="E19" t="s">
        <v>34</v>
      </c>
      <c r="F19" s="1">
        <v>1015</v>
      </c>
      <c r="G19" t="s">
        <v>37</v>
      </c>
      <c r="H19" t="s">
        <v>40</v>
      </c>
      <c r="I19" t="s">
        <v>41</v>
      </c>
      <c r="J19" s="2">
        <v>252</v>
      </c>
      <c r="K19" t="s">
        <v>42</v>
      </c>
      <c r="L19" s="3" t="s">
        <v>33</v>
      </c>
      <c r="O19" t="str">
        <f t="shared" si="0"/>
        <v>Rafael Federer Transaction ID 1015 Seattle Washington Purchase Amount 252 Email rfederer@gmail.com</v>
      </c>
    </row>
  </sheetData>
  <hyperlinks>
    <hyperlink ref="L5" r:id="rId1" xr:uid="{4909933C-27DA-4181-B101-8AC3B20EB45A}"/>
    <hyperlink ref="L6" r:id="rId2" xr:uid="{13B79B0E-974A-42CD-A8D4-155E7E07CFEA}"/>
    <hyperlink ref="L7" r:id="rId3" xr:uid="{146F1F63-E457-40C7-8626-ED92B8C799B5}"/>
    <hyperlink ref="L8" r:id="rId4" xr:uid="{62AA5265-321E-4AD6-9BCA-30E4128367BE}"/>
    <hyperlink ref="L9" r:id="rId5" xr:uid="{F0D0412D-6EA0-4CA8-B4D7-76DC76CA8975}"/>
    <hyperlink ref="L10" r:id="rId6" xr:uid="{9B6E7F4B-2E3A-423D-B00C-648B6D3590D9}"/>
    <hyperlink ref="L11" r:id="rId7" xr:uid="{4DDF1072-EF34-4A0C-815F-1110E9C2C6B3}"/>
    <hyperlink ref="L12" r:id="rId8" xr:uid="{84BDE6CB-06CD-47F3-8D55-F53B9934CE28}"/>
    <hyperlink ref="L13" r:id="rId9" xr:uid="{955F18A8-E72D-4F64-B2FA-1A9216178371}"/>
    <hyperlink ref="L14" r:id="rId10" xr:uid="{F42E4133-45D0-4E7B-9222-23EA83D8C4D2}"/>
    <hyperlink ref="L15" r:id="rId11" xr:uid="{64EB715B-0A99-433E-8CB4-44B9983BCDC4}"/>
    <hyperlink ref="L16" r:id="rId12" xr:uid="{D10AB716-ABD7-4C59-B5B8-46036F5EB938}"/>
    <hyperlink ref="L17" r:id="rId13" xr:uid="{44CA080B-2B40-48A9-A043-A83BD64C0B25}"/>
    <hyperlink ref="L18" r:id="rId14" xr:uid="{08FD85FE-719D-4461-97D7-0F7612982477}"/>
    <hyperlink ref="L19" r:id="rId15" xr:uid="{D8617C3A-74CD-4A84-B04E-B81F3E519C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Interview Questions</vt:lpstr>
      <vt:lpstr>Data Cleanup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</dc:creator>
  <cp:lastModifiedBy>Hendi</cp:lastModifiedBy>
  <dcterms:created xsi:type="dcterms:W3CDTF">2022-08-08T09:34:42Z</dcterms:created>
  <dcterms:modified xsi:type="dcterms:W3CDTF">2023-07-03T16:07:34Z</dcterms:modified>
</cp:coreProperties>
</file>